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1"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基准地价修正" sheetId="43" r:id="rId33"/>
    <sheet name="土地比较法-工业" sheetId="40"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2">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3">'土地比较法-工业'!$A$1:$K$61,'土地比较法-工业'!$A$64:$M$121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S19" i="84" l="1"/>
  <c r="R19" i="84"/>
  <c r="Q20" i="84"/>
  <c r="U12" i="84"/>
  <c r="U14" i="84"/>
  <c r="Q19" i="84"/>
  <c r="O19" i="84"/>
  <c r="O18" i="84"/>
  <c r="O15" i="84"/>
  <c r="O16" i="84"/>
  <c r="O17" i="84"/>
  <c r="O14" i="84"/>
  <c r="O13" i="84"/>
  <c r="O12" i="84"/>
  <c r="O11" i="84"/>
  <c r="S18" i="84"/>
  <c r="S17" i="84"/>
  <c r="S15" i="84"/>
  <c r="S14" i="84"/>
  <c r="S13" i="84"/>
  <c r="R17" i="84"/>
  <c r="Q17" i="84"/>
  <c r="R15" i="84"/>
  <c r="Q15" i="84"/>
  <c r="S12" i="84"/>
  <c r="Q12" i="84"/>
  <c r="S11" i="84"/>
  <c r="R11" i="84"/>
  <c r="Q11" i="84"/>
  <c r="O60" i="84" l="1"/>
  <c r="P34" i="84"/>
  <c r="P43" i="84"/>
  <c r="R34" i="84"/>
  <c r="O57" i="84"/>
  <c r="AH22" i="1"/>
  <c r="AH19" i="1"/>
  <c r="V20" i="1" l="1"/>
  <c r="W20" i="1"/>
  <c r="C6" i="68" l="1"/>
  <c r="D40" i="43"/>
  <c r="D33" i="43"/>
  <c r="J21" i="9"/>
  <c r="J20" i="9"/>
  <c r="J19" i="9"/>
  <c r="K20" i="3"/>
  <c r="AS19" i="82" l="1"/>
  <c r="AQ19" i="82"/>
  <c r="N18" i="1"/>
  <c r="AU3" i="82" l="1"/>
  <c r="Y6" i="1" l="1"/>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K2" i="82"/>
  <c r="C10" i="40"/>
  <c r="F70" i="40"/>
  <c r="E70" i="40"/>
  <c r="D70" i="40"/>
  <c r="I7" i="40"/>
  <c r="G7" i="40"/>
  <c r="E7" i="40"/>
  <c r="I5" i="40"/>
  <c r="G5" i="40"/>
  <c r="E5" i="40"/>
  <c r="C5" i="40"/>
  <c r="B6" i="78"/>
  <c r="N6" i="1" l="1"/>
  <c r="N20" i="1"/>
  <c r="M30" i="1"/>
  <c r="L26" i="1" l="1"/>
  <c r="N26" i="1" s="1"/>
  <c r="I15" i="3" l="1"/>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C5" i="3" s="1"/>
  <c r="G19" i="6" s="1"/>
  <c r="G27" i="6" s="1"/>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F28" i="6" s="1"/>
  <c r="AC5" i="3"/>
  <c r="AZ549" i="3"/>
  <c r="AZ506" i="3"/>
  <c r="AZ496" i="3"/>
  <c r="G548" i="3"/>
  <c r="G538" i="3"/>
  <c r="G520" i="3"/>
  <c r="G502" i="3"/>
  <c r="BS5" i="3"/>
  <c r="BP5" i="3"/>
  <c r="BN5" i="3"/>
  <c r="AZ343" i="3"/>
  <c r="BK5" i="3"/>
  <c r="BI5" i="3"/>
  <c r="BG5" i="3"/>
  <c r="BE5" i="3"/>
  <c r="G17" i="3"/>
  <c r="BA17" i="3"/>
  <c r="BT5" i="3"/>
  <c r="AZ350" i="3"/>
  <c r="AZ352" i="3"/>
  <c r="AZ356" i="3"/>
  <c r="AZ360" i="3"/>
  <c r="AZ364" i="3"/>
  <c r="AZ368" i="3"/>
  <c r="BA15" i="3"/>
  <c r="BB5" i="3"/>
  <c r="F19" i="6"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67"/>
  <c r="F16" i="67"/>
  <c r="D4" i="73"/>
  <c r="F20" i="31"/>
  <c r="E12" i="76"/>
  <c r="D7" i="73"/>
  <c r="B11" i="76"/>
  <c r="F7" i="67"/>
  <c r="M23" i="15"/>
  <c r="E8" i="76"/>
  <c r="F5" i="73"/>
  <c r="E9" i="76"/>
  <c r="M26" i="67"/>
  <c r="M6" i="15"/>
  <c r="J15" i="15"/>
  <c r="F38" i="67"/>
  <c r="M28" i="15"/>
  <c r="E11" i="76"/>
  <c r="F26" i="67"/>
  <c r="F38" i="15"/>
  <c r="F7" i="73"/>
  <c r="B10" i="76"/>
  <c r="D5" i="73"/>
  <c r="L48" i="67"/>
  <c r="L47" i="67"/>
  <c r="M23" i="67"/>
  <c r="M9" i="67"/>
  <c r="M24" i="67"/>
  <c r="C76" i="15"/>
  <c r="F13" i="67"/>
  <c r="M6" i="67"/>
  <c r="F6" i="73"/>
  <c r="F16" i="15"/>
  <c r="C76" i="67"/>
  <c r="B13" i="76"/>
  <c r="B9" i="76"/>
  <c r="L48" i="15"/>
  <c r="AO13" i="1"/>
  <c r="M22" i="67"/>
  <c r="E7" i="76"/>
  <c r="J15" i="67"/>
  <c r="E2" i="69"/>
  <c r="M29" i="67"/>
  <c r="E13" i="76"/>
  <c r="F37" i="15"/>
  <c r="F40" i="67"/>
  <c r="F4" i="73"/>
  <c r="D6" i="73"/>
  <c r="M8" i="67"/>
  <c r="F9" i="15"/>
  <c r="F36" i="67"/>
  <c r="D3" i="73"/>
  <c r="F37" i="67"/>
  <c r="E2" i="68"/>
  <c r="M26" i="15"/>
  <c r="M8" i="15"/>
  <c r="B12" i="76"/>
  <c r="B8" i="76"/>
  <c r="E10" i="76"/>
  <c r="M28" i="67"/>
  <c r="F13" i="15"/>
  <c r="F8" i="67"/>
  <c r="F42" i="15"/>
  <c r="F40" i="15"/>
  <c r="F3" i="73"/>
  <c r="F9" i="67"/>
  <c r="M9" i="15"/>
  <c r="F43" i="67"/>
  <c r="L47" i="15"/>
  <c r="F36" i="15"/>
  <c r="M22" i="15"/>
  <c r="M24" i="15"/>
  <c r="F26" i="15"/>
  <c r="F42" i="67"/>
  <c r="B7" i="76"/>
  <c r="F8" i="15"/>
  <c r="BA20" i="3" l="1"/>
  <c r="AZ20" i="3" s="1"/>
  <c r="E19" i="6"/>
  <c r="K6" i="1" s="1"/>
  <c r="F29" i="6"/>
  <c r="BA19" i="3"/>
  <c r="BL19" i="3"/>
  <c r="BL5" i="3" s="1"/>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AA9" i="40"/>
  <c r="U9" i="40"/>
  <c r="W25" i="40"/>
  <c r="S25" i="40"/>
  <c r="U25" i="40"/>
  <c r="AC21" i="40"/>
  <c r="AB21" i="40"/>
  <c r="W19" i="40"/>
  <c r="AA19" i="40"/>
  <c r="AB17" i="40"/>
  <c r="AC17" i="40"/>
  <c r="AC15" i="40"/>
  <c r="AZ15" i="3"/>
  <c r="BA18" i="3"/>
  <c r="AZ18" i="3" s="1"/>
  <c r="G5" i="3"/>
  <c r="B3" i="3" s="1"/>
  <c r="E156" i="3" s="1"/>
  <c r="AZ19" i="3"/>
  <c r="BA5"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C11" i="40" s="1"/>
  <c r="F11" i="40" s="1"/>
  <c r="E29" i="6"/>
  <c r="K15" i="1" s="1"/>
  <c r="F30" i="6"/>
  <c r="G30" i="6"/>
  <c r="G31" i="6" s="1"/>
  <c r="E28" i="6"/>
  <c r="L19" i="6"/>
  <c r="L27" i="6"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15" i="6"/>
  <c r="E64" i="39" s="1"/>
  <c r="E11" i="6"/>
  <c r="E60" i="39" s="1"/>
  <c r="E10" i="6"/>
  <c r="E13" i="6"/>
  <c r="H16" i="1"/>
  <c r="P11" i="1"/>
  <c r="E59" i="40"/>
  <c r="K14"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F5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D9" i="68"/>
  <c r="F43" i="15"/>
  <c r="M29" i="15"/>
  <c r="F7" i="15"/>
  <c r="G1" i="73"/>
  <c r="C16" i="67"/>
  <c r="M7" i="15" l="1"/>
  <c r="J6" i="15" s="1"/>
  <c r="F50" i="15"/>
  <c r="F71" i="15"/>
  <c r="AA6" i="3"/>
  <c r="E280" i="3"/>
  <c r="E353" i="3"/>
  <c r="AN6" i="3"/>
  <c r="E402" i="3"/>
  <c r="E303" i="3"/>
  <c r="E159" i="3"/>
  <c r="E254" i="3"/>
  <c r="E221" i="3"/>
  <c r="E302" i="3"/>
  <c r="E17" i="3"/>
  <c r="E213" i="3"/>
  <c r="E565" i="3"/>
  <c r="E304" i="3"/>
  <c r="E237" i="3"/>
  <c r="E169" i="3"/>
  <c r="E298" i="3"/>
  <c r="E321" i="3"/>
  <c r="E338" i="3"/>
  <c r="E418" i="3"/>
  <c r="E506" i="3"/>
  <c r="E523" i="3"/>
  <c r="S6" i="3"/>
  <c r="E390" i="3"/>
  <c r="E97" i="3"/>
  <c r="E285" i="3"/>
  <c r="E359" i="3"/>
  <c r="E574" i="3"/>
  <c r="O6" i="3"/>
  <c r="E328" i="3"/>
  <c r="E426" i="3"/>
  <c r="E153" i="3"/>
  <c r="E501" i="3"/>
  <c r="E319" i="3"/>
  <c r="E53" i="3"/>
  <c r="E27" i="3"/>
  <c r="E171" i="3"/>
  <c r="E576" i="3"/>
  <c r="X6" i="3"/>
  <c r="E246" i="3"/>
  <c r="E385" i="3"/>
  <c r="AI6" i="3"/>
  <c r="E423" i="3"/>
  <c r="E263" i="3"/>
  <c r="E191" i="3"/>
  <c r="E135" i="3"/>
  <c r="E161" i="3"/>
  <c r="E535" i="3"/>
  <c r="E445" i="3"/>
  <c r="E172" i="3"/>
  <c r="E563" i="3"/>
  <c r="E278" i="3"/>
  <c r="E69" i="3"/>
  <c r="E189" i="3"/>
  <c r="E215" i="3"/>
  <c r="E335" i="3"/>
  <c r="E387" i="3"/>
  <c r="AB6" i="3"/>
  <c r="M6" i="3"/>
  <c r="E570" i="3"/>
  <c r="E514" i="3"/>
  <c r="E311" i="3"/>
  <c r="E201" i="3"/>
  <c r="E247" i="3"/>
  <c r="E431" i="3"/>
  <c r="E579" i="3"/>
  <c r="E509" i="3"/>
  <c r="AJ6" i="3"/>
  <c r="E322" i="3"/>
  <c r="E268" i="3"/>
  <c r="E526" i="3"/>
  <c r="E217" i="3"/>
  <c r="AS6" i="3"/>
  <c r="AP6" i="1"/>
  <c r="C36" i="69" s="1"/>
  <c r="E295" i="3"/>
  <c r="K16" i="1"/>
  <c r="L25" i="1" s="1"/>
  <c r="E347" i="3"/>
  <c r="E399" i="3"/>
  <c r="E124" i="3"/>
  <c r="E495" i="3"/>
  <c r="E586" i="3"/>
  <c r="E350" i="3"/>
  <c r="E301" i="3"/>
  <c r="E134" i="3"/>
  <c r="E91" i="3"/>
  <c r="E180" i="3"/>
  <c r="E503" i="3"/>
  <c r="E361" i="3"/>
  <c r="E183" i="3"/>
  <c r="E528" i="3"/>
  <c r="E261" i="3"/>
  <c r="E185" i="3"/>
  <c r="E216" i="3"/>
  <c r="E231" i="3"/>
  <c r="E380" i="3"/>
  <c r="E439" i="3"/>
  <c r="E538" i="3"/>
  <c r="E561" i="3"/>
  <c r="AR6" i="3"/>
  <c r="E533" i="3"/>
  <c r="E270" i="3"/>
  <c r="E143" i="3"/>
  <c r="E337" i="3"/>
  <c r="E410" i="3"/>
  <c r="E555" i="3"/>
  <c r="E388" i="3"/>
  <c r="E508" i="3"/>
  <c r="E305" i="3"/>
  <c r="E343" i="3"/>
  <c r="E530" i="3"/>
  <c r="E175" i="3"/>
  <c r="M6" i="1"/>
  <c r="E384" i="3"/>
  <c r="E443" i="3"/>
  <c r="E441" i="3"/>
  <c r="E186" i="3"/>
  <c r="E581" i="3"/>
  <c r="E207" i="3"/>
  <c r="H11" i="40"/>
  <c r="U11" i="40" s="1"/>
  <c r="AA11" i="40"/>
  <c r="S11" i="40"/>
  <c r="E334" i="3"/>
  <c r="E447" i="3"/>
  <c r="P6" i="3"/>
  <c r="E55" i="3"/>
  <c r="N25" i="1"/>
  <c r="N24" i="1" s="1"/>
  <c r="L24" i="1"/>
  <c r="S36" i="40"/>
  <c r="H113" i="40"/>
  <c r="I113" i="40" s="1"/>
  <c r="J113" i="40" s="1"/>
  <c r="K113" i="40" s="1"/>
  <c r="L113" i="40" s="1"/>
  <c r="M113" i="40" s="1"/>
  <c r="J36" i="40"/>
  <c r="S23" i="40"/>
  <c r="U23" i="40"/>
  <c r="AC23" i="40"/>
  <c r="W23" i="40"/>
  <c r="U19" i="40"/>
  <c r="AB19" i="40"/>
  <c r="AB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V19" i="1" s="1"/>
  <c r="E51" i="40"/>
  <c r="E16" i="6"/>
  <c r="H6" i="3"/>
  <c r="E58" i="40"/>
  <c r="E62" i="39"/>
  <c r="AY6" i="3"/>
  <c r="E3" i="6"/>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F41" i="67"/>
  <c r="AE6" i="1"/>
  <c r="C16" i="15"/>
  <c r="O6" i="1" l="1"/>
  <c r="L27" i="1"/>
  <c r="L23" i="1"/>
  <c r="L32" i="1"/>
  <c r="V21" i="1"/>
  <c r="W21" i="1" s="1"/>
  <c r="M24" i="1"/>
  <c r="W36" i="40"/>
  <c r="AC36" i="40"/>
  <c r="W11" i="40"/>
  <c r="AC11" i="40"/>
  <c r="AC6" i="3"/>
  <c r="E6" i="3" s="1"/>
  <c r="E65" i="39"/>
  <c r="L37" i="43"/>
  <c r="P36" i="43"/>
  <c r="N36" i="43"/>
  <c r="Q36" i="43"/>
  <c r="O36" i="43"/>
  <c r="M36" i="43"/>
  <c r="AC7" i="34"/>
  <c r="V49" i="34" s="1"/>
  <c r="I49" i="34" s="1"/>
  <c r="U7" i="34"/>
  <c r="AA7" i="34"/>
  <c r="R49" i="34"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F41" i="15"/>
  <c r="F6" i="15"/>
  <c r="M27" i="67"/>
  <c r="M27" i="15"/>
  <c r="C6" i="15" l="1"/>
  <c r="B14" i="74"/>
  <c r="B1" i="74" s="1"/>
  <c r="L28" i="1"/>
  <c r="N27" i="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1" i="6"/>
  <c r="H24" i="6"/>
  <c r="D19" i="6"/>
  <c r="M19" i="9" s="1"/>
  <c r="C118" i="9" s="1"/>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4" i="67"/>
  <c r="C17" i="15"/>
  <c r="D30" i="6" l="1"/>
  <c r="H22" i="6"/>
  <c r="C14" i="74"/>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C18" i="12"/>
  <c r="D8" i="71"/>
  <c r="C7" i="71"/>
  <c r="C19" i="67"/>
  <c r="C20" i="67" s="1"/>
  <c r="C26" i="67" s="1"/>
  <c r="T16" i="1"/>
  <c r="C18" i="15"/>
  <c r="C15" i="15"/>
  <c r="C38" i="68"/>
  <c r="C35" i="68"/>
  <c r="C36" i="11"/>
  <c r="C37" i="11"/>
  <c r="C34" i="11"/>
  <c r="C23" i="12"/>
  <c r="C14" i="12"/>
  <c r="C16"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C21" i="12" l="1"/>
  <c r="C22" i="12" s="1"/>
  <c r="N32" i="1"/>
  <c r="M32" i="1" s="1"/>
  <c r="G26" i="43"/>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C33"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67"/>
  <c r="F35" i="15"/>
  <c r="F35" i="67"/>
  <c r="M21" i="15"/>
  <c r="C118" i="43" l="1"/>
  <c r="D116" i="43"/>
  <c r="C34" i="43"/>
  <c r="E34" i="43" s="1"/>
  <c r="C31" i="43" s="1"/>
  <c r="E33" i="43"/>
  <c r="C30" i="43"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E2" i="76" l="1"/>
  <c r="B2" i="4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B6" i="76"/>
  <c r="D2" i="21"/>
  <c r="B2" i="76" l="1"/>
  <c r="B3" i="76" s="1"/>
  <c r="B3"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D2" i="33"/>
  <c r="L51" i="67"/>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7"/>
  <c r="L51" i="15"/>
  <c r="D2" i="36"/>
  <c r="D2" i="34"/>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8" i="1"/>
  <c r="AO7" i="1"/>
  <c r="AO9" i="1"/>
  <c r="AO12" i="1"/>
  <c r="AO11"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D19" i="9"/>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7" i="68" l="1"/>
  <c r="C5" i="68"/>
  <c r="C23" i="68" l="1"/>
  <c r="C20" i="68"/>
  <c r="C28" i="68" l="1"/>
  <c r="C27" i="68" s="1"/>
  <c r="C25" i="68"/>
  <c r="C22" i="68" s="1"/>
  <c r="C31" i="68" l="1"/>
  <c r="C52" i="68" s="1"/>
  <c r="B2" i="68" s="1"/>
  <c r="D59" i="9"/>
  <c r="M55" i="9" s="1"/>
  <c r="C19" i="9"/>
  <c r="C57" i="68" l="1"/>
  <c r="C56" i="68" s="1"/>
  <c r="C102" i="9"/>
  <c r="C21" i="9"/>
  <c r="D22" i="9"/>
  <c r="G19" i="9"/>
  <c r="B3" i="68"/>
  <c r="D35" i="9"/>
  <c r="D34" i="9"/>
  <c r="C20"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N61" i="9" s="1"/>
  <c r="H112" i="9" s="1"/>
  <c r="P57" i="9"/>
  <c r="H111" i="9"/>
  <c r="I14" i="74" s="1"/>
  <c r="B8" i="74" s="1"/>
  <c r="D8" i="74" s="1"/>
  <c r="N60" i="9" l="1"/>
  <c r="D19" i="53"/>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<sst xmlns="http://schemas.openxmlformats.org/spreadsheetml/2006/main" count="8604" uniqueCount="3690">
  <si>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</si>
  <si>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</si>
  <si>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</si>
  <si>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</si>
  <si>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</si>
  <si>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</si>
  <si>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</si>
  <si>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</si>
  <si>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</si>
  <si>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</si>
  <si>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</si>
  <si>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</si>
  <si>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</si>
  <si>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</si>
  <si>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</si>
  <si>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</si>
  <si>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</si>
  <si>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</si>
  <si>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</si>
  <si>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</si>
  <si>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</si>
  <si>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</si>
  <si>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</si>
  <si>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</si>
  <si>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</si>
  <si>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</si>
  <si>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</si>
  <si>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</si>
  <si>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</si>
  <si>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</si>
  <si>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</si>
  <si>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</si>
  <si>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</si>
  <si>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</si>
  <si>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</si>
  <si>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</si>
  <si>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</si>
  <si>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</si>
  <si>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</si>
  <si>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</si>
  <si>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</si>
  <si>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</si>
  <si>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</si>
  <si>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</si>
  <si>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</si>
  <si>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</si>
  <si>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</si>
  <si>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</si>
  <si>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</si>
  <si>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</si>
  <si>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</si>
  <si>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</si>
  <si>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</si>
  <si>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</si>
  <si>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</si>
  <si>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</si>
  <si>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</si>
  <si>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</si>
  <si>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</si>
  <si>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</si>
  <si>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</si>
  <si>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</si>
  <si>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</si>
  <si>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</si>
  <si>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</si>
  <si>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</si>
  <si>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</si>
  <si>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</si>
  <si>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</si>
  <si>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</si>
  <si>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</si>
  <si>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</si>
  <si>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</si>
  <si>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</si>
  <si>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</si>
  <si>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</si>
  <si>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</si>
  <si>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</si>
  <si>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</si>
  <si>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</si>
  <si>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</si>
  <si>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</si>
  <si>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</si>
  <si>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</si>
  <si>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</si>
  <si>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</si>
  <si>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</si>
  <si>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</si>
  <si>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</si>
  <si>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</si>
  <si>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</si>
  <si>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</si>
  <si>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</si>
  <si>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</si>
  <si>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</si>
  <si>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</si>
  <si>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</si>
  <si>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</si>
  <si>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</si>
  <si>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</si>
  <si>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</si>
  <si>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</si>
  <si>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</si>
  <si>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</si>
  <si>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</si>
  <si>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</si>
  <si>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</si>
  <si>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</si>
  <si>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</si>
  <si>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</si>
  <si>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</si>
  <si>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</si>
  <si>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</si>
  <si>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</si>
  <si>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</si>
  <si>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</si>
  <si>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</si>
  <si>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</si>
  <si>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</si>
  <si>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</si>
  <si>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</si>
  <si>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</si>
  <si>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</si>
  <si>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</si>
  <si>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</si>
  <si>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</si>
  <si>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</si>
  <si>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</si>
  <si>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</si>
  <si>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</si>
  <si>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</si>
  <si>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</si>
  <si>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</si>
  <si>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</si>
  <si>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</si>
  <si>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</si>
  <si>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</si>
  <si>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</si>
  <si>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</si>
  <si>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</si>
  <si>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</si>
  <si>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</si>
  <si>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</si>
  <si>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</si>
  <si>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</si>
  <si>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</si>
  <si>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</si>
  <si>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</si>
  <si>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</si>
  <si>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</si>
  <si>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</si>
  <si>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</si>
  <si>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</si>
  <si>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</si>
  <si>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</si>
  <si>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</si>
  <si>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</si>
  <si>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</si>
  <si>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</si>
  <si>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</si>
  <si>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</si>
  <si>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</si>
  <si>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</si>
  <si>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</si>
  <si>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</si>
  <si>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</si>
  <si>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</si>
  <si>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</si>
  <si>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</si>
  <si>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</si>
  <si>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</si>
  <si>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</si>
  <si>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</si>
  <si>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</si>
  <si>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</si>
  <si>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</si>
  <si>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</si>
  <si>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</si>
  <si>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</si>
  <si>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</si>
  <si>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</si>
  <si>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</si>
  <si>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</si>
  <si>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</si>
  <si>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</si>
  <si>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</si>
  <si>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</si>
  <si>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</si>
  <si>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</si>
  <si>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</si>
  <si>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</si>
  <si>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</si>
  <si>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</si>
  <si>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</si>
  <si>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</si>
  <si>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</si>
  <si>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</si>
  <si>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</si>
  <si>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</si>
  <si>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</si>
  <si>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</si>
  <si>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</si>
  <si>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</si>
  <si>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</si>
  <si>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</si>
  <si>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</si>
  <si>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</si>
  <si>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</si>
  <si>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</si>
  <si>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</si>
  <si>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</si>
  <si>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</si>
  <si>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</si>
  <si>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</si>
  <si>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</si>
  <si>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</si>
  <si>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</si>
  <si>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</si>
  <si>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</si>
  <si>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</si>
  <si>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</si>
  <si>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</si>
  <si>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</si>
  <si>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</si>
  <si>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</si>
  <si>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</si>
  <si>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</si>
  <si>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</si>
  <si>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</si>
  <si>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</si>
  <si>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</si>
  <si>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</si>
  <si>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</si>
  <si>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</si>
  <si>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</si>
  <si>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</si>
  <si>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</si>
  <si>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</si>
  <si>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</si>
  <si>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</si>
  <si>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</si>
  <si>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</si>
  <si>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</si>
  <si>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</si>
  <si>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</si>
  <si>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</si>
  <si>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</si>
  <si>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</si>
  <si>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</si>
  <si>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</si>
  <si>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</si>
  <si>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</si>
  <si>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</si>
  <si>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</si>
  <si>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</si>
  <si>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</si>
  <si>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</si>
  <si>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</si>
  <si>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</si>
  <si>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</si>
  <si>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</si>
  <si>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</si>
  <si>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</si>
  <si>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</si>
  <si>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</si>
  <si>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</si>
  <si>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</si>
  <si>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</si>
  <si>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</si>
  <si>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</si>
  <si>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</si>
  <si>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</si>
  <si>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</si>
  <si>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</si>
  <si>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</si>
  <si>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</si>
  <si>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</si>
  <si>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</si>
  <si>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</si>
  <si>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</si>
  <si>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</si>
  <si>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</si>
  <si>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</si>
  <si>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</si>
  <si>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</si>
  <si>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</si>
  <si>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</si>
  <si>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</si>
  <si>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</si>
  <si>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</si>
  <si>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</si>
  <si>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</si>
  <si>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</si>
  <si>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</si>
  <si>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</si>
  <si>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</si>
  <si>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</si>
  <si>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</si>
  <si>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</si>
  <si>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</si>
  <si>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</si>
  <si>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</si>
  <si>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</si>
  <si>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</si>
  <si>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</si>
  <si>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</si>
  <si>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</si>
  <si>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</si>
  <si>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</si>
  <si>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</si>
  <si>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</si>
  <si>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</si>
  <si>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</si>
  <si>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</si>
  <si>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</si>
  <si>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</si>
  <si>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</si>
  <si>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</si>
  <si>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</si>
  <si>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</si>
  <si>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</si>
  <si>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</si>
  <si>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</si>
  <si>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</si>
  <si>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</si>
  <si>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</si>
  <si>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</si>
  <si>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</si>
  <si>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</si>
  <si>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</si>
  <si>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</si>
  <si>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</si>
  <si>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</si>
  <si>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</si>
  <si>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</si>
  <si>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</si>
  <si>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</si>
  <si>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</si>
  <si>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</si>
  <si>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</si>
  <si>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</si>
  <si>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</si>
  <si>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</si>
  <si>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</si>
  <si>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</si>
  <si>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</si>
  <si>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</si>
  <si>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</si>
  <si>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</si>
  <si>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</si>
  <si>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</si>
  <si>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</si>
  <si>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</si>
  <si>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</si>
  <si>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</si>
  <si>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</si>
  <si>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</si>
  <si>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</si>
  <si>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</si>
  <si>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</si>
  <si>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</si>
  <si>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</si>
  <si>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</si>
  <si>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</si>
  <si>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</si>
  <si>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</si>
  <si>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</si>
  <si>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</si>
  <si>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</si>
  <si>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</si>
  <si>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</si>
  <si>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</si>
  <si>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</si>
  <si>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</si>
  <si>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</si>
  <si>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</si>
  <si>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</si>
  <si>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</si>
  <si>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</si>
  <si>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</si>
  <si>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</si>
  <si>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</si>
  <si>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</si>
  <si>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</si>
  <si>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</si>
  <si>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</si>
  <si>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</si>
  <si>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</si>
  <si>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</si>
  <si>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</si>
  <si>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</si>
  <si>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</si>
  <si>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</si>
  <si>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</si>
  <si>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</si>
  <si>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</si>
  <si>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</si>
  <si>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</si>
  <si>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</si>
  <si>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</si>
  <si>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</si>
  <si>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</si>
  <si>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</si>
  <si>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</si>
  <si>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</si>
  <si>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</si>
  <si>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</si>
  <si>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</si>
  <si>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</si>
  <si>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</si>
  <si>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</si>
  <si>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</si>
  <si>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</si>
  <si>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</si>
  <si>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</si>
  <si>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</si>
  <si>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</si>
  <si>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</si>
  <si>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</si>
  <si>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</si>
  <si>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</si>
  <si>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</si>
  <si>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</si>
  <si>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</si>
  <si>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</si>
  <si>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</si>
  <si>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</si>
  <si>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</si>
  <si>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</si>
  <si>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</si>
  <si>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</si>
  <si>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</si>
  <si>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</si>
  <si>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</si>
  <si>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</si>
  <si>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</si>
  <si>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</si>
  <si>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</si>
  <si>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</si>
  <si>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</si>
  <si>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</si>
  <si>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</si>
  <si>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</si>
  <si>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</si>
  <si>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</si>
  <si>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</si>
  <si>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</si>
  <si>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</si>
  <si>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</si>
  <si>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</si>
  <si>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</si>
  <si>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</si>
  <si>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</si>
  <si>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</si>
  <si>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</si>
  <si>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</si>
  <si>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</si>
  <si>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</si>
  <si>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</si>
  <si>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</si>
  <si>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</si>
  <si>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</si>
  <si>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</si>
  <si>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</si>
  <si>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</si>
  <si>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</si>
  <si>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</si>
  <si>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</si>
  <si>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</si>
  <si>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</si>
  <si>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</si>
  <si>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</si>
  <si>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</si>
  <si>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</si>
  <si>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</si>
  <si>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</si>
  <si>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</si>
  <si>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</si>
  <si>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</si>
  <si>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</si>
  <si>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</si>
  <si>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</si>
  <si>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</si>
  <si>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</si>
  <si>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</si>
  <si>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</si>
  <si>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</si>
  <si>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</si>
  <si>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</si>
  <si>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</si>
  <si>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</si>
  <si>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</si>
  <si>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</si>
  <si>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</si>
  <si>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</si>
  <si>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</si>
  <si>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</si>
  <si>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</si>
  <si>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</si>
  <si>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</si>
  <si>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</si>
  <si>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</si>
  <si>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</si>
  <si>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</si>
  <si>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</si>
  <si>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</si>
  <si>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</si>
  <si>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</si>
  <si>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</si>
  <si>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</si>
  <si>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</si>
  <si>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</si>
  <si>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</si>
  <si>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</si>
  <si>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</si>
  <si>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</si>
  <si>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</si>
  <si>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</si>
  <si>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</si>
  <si>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</si>
  <si>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</si>
  <si>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</si>
  <si>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</si>
  <si>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</si>
  <si>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</si>
  <si>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</si>
  <si>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</si>
  <si>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</si>
  <si>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</si>
  <si>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</si>
  <si>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</si>
  <si>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</si>
  <si>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</si>
  <si>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</si>
  <si>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</si>
  <si>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</si>
  <si>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</si>
  <si>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</si>
  <si>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</si>
  <si>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</si>
  <si>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</si>
  <si>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</si>
  <si>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</si>
  <si>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</si>
  <si>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</si>
  <si>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</si>
  <si>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</si>
  <si>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</si>
  <si>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</si>
  <si>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</si>
  <si>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</si>
  <si>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</si>
  <si>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</si>
  <si>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</si>
  <si>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</si>
  <si>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</si>
  <si>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</si>
  <si>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</si>
  <si>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</si>
  <si>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</si>
  <si>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</si>
  <si>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</si>
  <si>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</si>
  <si>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</si>
  <si>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</si>
  <si>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</si>
  <si>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</si>
  <si>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</si>
  <si>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</si>
  <si>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</si>
  <si>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</si>
  <si>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</si>
  <si>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</si>
  <si>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</si>
  <si>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</si>
  <si>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</si>
  <si>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</si>
  <si>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</si>
  <si>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</si>
  <si>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</si>
  <si>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</si>
  <si>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</si>
  <si>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</si>
  <si>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</si>
  <si>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</si>
  <si>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</si>
  <si>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</si>
  <si>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</si>
  <si>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</si>
  <si>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</si>
  <si>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</si>
  <si>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</si>
  <si>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</si>
  <si>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</si>
  <si>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</si>
  <si>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</si>
  <si>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</si>
  <si>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</si>
  <si>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</si>
  <si>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</si>
  <si>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</si>
  <si>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</si>
  <si>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</si>
  <si>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</si>
  <si>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</si>
  <si>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</si>
  <si>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</si>
  <si>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</si>
  <si>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</si>
  <si>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</si>
  <si>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</si>
  <si>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</si>
  <si>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</si>
  <si>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</si>
  <si>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</si>
  <si>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</si>
  <si>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</si>
  <si>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</si>
  <si>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</si>
  <si>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</si>
  <si>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</si>
  <si>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</si>
  <si>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</si>
  <si>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</si>
  <si>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</si>
  <si>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</si>
  <si>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</si>
  <si>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</si>
  <si>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</si>
  <si>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</si>
  <si>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</si>
  <si>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</si>
  <si>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</si>
  <si>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</si>
  <si>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</si>
  <si>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</si>
  <si>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</si>
  <si>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</si>
  <si>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</si>
  <si>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</si>
  <si>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</si>
  <si>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</si>
  <si>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</si>
  <si>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</si>
  <si>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</si>
  <si>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</si>
  <si>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</si>
  <si>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</si>
  <si>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</si>
  <si>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</si>
  <si>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</si>
  <si>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</si>
  <si>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</si>
  <si>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</si>
  <si>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</si>
  <si>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</si>
  <si>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</si>
  <si>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</si>
  <si>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</si>
  <si>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</si>
  <si>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</si>
  <si>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</si>
  <si>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</si>
  <si>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</si>
  <si>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</si>
  <si>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</si>
  <si>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</si>
  <si>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</si>
  <si>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</si>
  <si>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</si>
  <si>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</si>
  <si>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</si>
  <si>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</si>
  <si>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</si>
  <si>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</si>
  <si>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</si>
  <si>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</si>
  <si>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</si>
  <si>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</si>
  <si>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</si>
  <si>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</si>
  <si>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</si>
  <si>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</si>
  <si>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</si>
  <si>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</si>
  <si>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</si>
  <si>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</si>
  <si>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</si>
  <si>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</si>
  <si>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</si>
  <si>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</si>
  <si>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</si>
  <si>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</si>
  <si>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</si>
  <si>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</si>
  <si>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</si>
  <si>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</si>
  <si>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</si>
  <si>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</si>
  <si>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</si>
  <si>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</si>
  <si>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</si>
  <si>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</si>
  <si>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</si>
  <si>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</si>
  <si>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</si>
  <si>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</si>
  <si>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</si>
  <si>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</si>
  <si>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</si>
  <si>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</si>
  <si>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</si>
  <si>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</si>
  <si>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</si>
  <si>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</si>
  <si>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</si>
  <si>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</si>
  <si>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</si>
  <si>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</si>
  <si>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</si>
  <si>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</si>
  <si>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</si>
  <si>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</si>
  <si>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</si>
  <si>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</si>
  <si>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</si>
  <si>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</si>
  <si>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</si>
  <si>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</si>
  <si>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</si>
  <si>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</si>
  <si>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</si>
  <si>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</si>
  <si>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</si>
  <si>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</si>
  <si>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</si>
  <si>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</si>
  <si>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</si>
  <si>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</si>
  <si>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</si>
  <si>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</si>
  <si>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</si>
  <si>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</si>
  <si>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</si>
  <si>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</si>
  <si>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</si>
  <si>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</si>
  <si>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</si>
  <si>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</si>
  <si>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</si>
  <si>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</si>
  <si>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</si>
  <si>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</si>
  <si>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</si>
  <si>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</si>
  <si>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</si>
  <si>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</si>
  <si>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</si>
  <si>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</si>
  <si>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</si>
  <si>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</si>
  <si>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</si>
  <si>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</si>
  <si>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</si>
  <si>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</si>
  <si>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</si>
  <si>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</si>
  <si>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</si>
  <si>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</si>
  <si>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</si>
  <si>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</si>
  <si>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</si>
  <si>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</si>
  <si>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</si>
  <si>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</si>
  <si>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</si>
  <si>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</si>
  <si>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</si>
  <si>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</si>
  <si>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</si>
  <si>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</si>
  <si>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</si>
  <si>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</si>
  <si>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</si>
  <si>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</si>
  <si>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</si>
  <si>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</si>
  <si>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</si>
  <si>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</si>
  <si>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</si>
  <si>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</si>
  <si>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</si>
  <si>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</si>
  <si>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</si>
  <si>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</si>
  <si>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</si>
  <si>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</si>
  <si>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</si>
  <si>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</si>
  <si>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</si>
  <si>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</si>
  <si>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</si>
  <si>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</si>
  <si>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</si>
  <si>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</si>
  <si>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</si>
  <si>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</si>
  <si>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</si>
  <si>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</si>
  <si>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</si>
  <si>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</si>
  <si>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</si>
  <si>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</si>
  <si>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</si>
  <si>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</si>
  <si>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</si>
  <si>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</si>
  <si>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</si>
  <si>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</si>
  <si>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</si>
  <si>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</si>
  <si>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</si>
  <si>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</si>
  <si>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</si>
  <si>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</si>
  <si>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</si>
  <si>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</si>
  <si>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</si>
  <si>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</si>
  <si>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</si>
  <si>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</si>
  <si>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</si>
  <si>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</si>
  <si>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</si>
  <si>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</si>
  <si>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</si>
  <si>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</si>
  <si>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</si>
  <si>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</si>
  <si>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</si>
  <si>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</si>
  <si>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</si>
  <si>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</si>
  <si>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</si>
  <si>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</si>
  <si>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</si>
  <si>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</si>
  <si>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</si>
  <si>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</si>
  <si>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</si>
  <si>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</si>
  <si>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</si>
  <si>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</si>
  <si>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</si>
  <si>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</si>
  <si>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</si>
  <si>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</si>
  <si>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</si>
  <si>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</si>
  <si>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</si>
  <si>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</si>
  <si>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</si>
  <si>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</si>
  <si>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</si>
  <si>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</si>
  <si>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</si>
  <si>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</si>
  <si>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</si>
  <si>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</si>
  <si>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</si>
  <si>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</si>
  <si>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</si>
  <si>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</si>
  <si>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</si>
  <si>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</si>
  <si>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</si>
  <si>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</si>
  <si>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</si>
  <si>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</si>
  <si>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</si>
  <si>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</si>
  <si>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</si>
  <si>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</si>
  <si>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</si>
  <si>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</si>
  <si>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</si>
  <si>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</si>
  <si>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</si>
  <si>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</si>
  <si>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</si>
  <si>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</si>
  <si>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</si>
  <si>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</si>
  <si>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</si>
  <si>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</si>
  <si>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</si>
  <si>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</si>
  <si>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</si>
  <si>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</si>
  <si>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</si>
  <si>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</si>
  <si>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</si>
  <si>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</si>
  <si>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</si>
  <si>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</si>
  <si>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</si>
  <si>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</si>
  <si>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</si>
  <si>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</si>
  <si>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</si>
  <si>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</si>
  <si>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</si>
  <si>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</si>
  <si>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</si>
  <si>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</si>
  <si>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</si>
  <si>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</si>
  <si>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</si>
  <si>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</si>
  <si>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</si>
  <si>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</si>
  <si>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</si>
  <si>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</si>
  <si>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</si>
  <si>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</si>
  <si>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</si>
  <si>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</si>
  <si>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</si>
  <si>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</si>
  <si>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</si>
  <si>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</si>
  <si>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</si>
  <si>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</si>
  <si>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</si>
  <si>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</si>
  <si>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</si>
  <si>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</si>
  <si>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</si>
  <si>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</si>
  <si>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</si>
  <si>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</si>
  <si>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</si>
  <si>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</si>
  <si>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</si>
  <si>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</si>
  <si>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</si>
  <si>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</si>
  <si>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</si>
  <si>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</si>
  <si>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</si>
  <si>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</si>
  <si>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</si>
  <si>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</si>
  <si>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</si>
  <si>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</si>
  <si>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</si>
  <si>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</si>
  <si>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</si>
  <si>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</si>
  <si>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</si>
  <si>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</si>
  <si>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</si>
  <si>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</si>
  <si>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</si>
  <si>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</si>
  <si>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</si>
  <si>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</si>
  <si>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</si>
  <si>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</si>
  <si>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</si>
  <si>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</si>
  <si>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</si>
  <si>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</si>
  <si>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</si>
  <si>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</si>
  <si>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</si>
  <si>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</si>
  <si>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</si>
  <si>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</si>
  <si>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</si>
  <si>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</si>
  <si>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</si>
  <si>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</si>
  <si>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</si>
  <si>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</si>
  <si>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</si>
  <si>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</si>
  <si>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</si>
  <si>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</si>
  <si>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</si>
  <si>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</si>
  <si>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</si>
  <si>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</si>
  <si>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</si>
  <si>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</si>
  <si>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</si>
  <si>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</si>
  <si>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</si>
  <si>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</si>
  <si>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</si>
  <si>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</si>
  <si>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</si>
  <si>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</si>
  <si>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</si>
  <si>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</si>
  <si>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</si>
  <si>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</si>
  <si>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</si>
  <si>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</si>
  <si>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</si>
  <si>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</si>
  <si>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</si>
  <si>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</si>
  <si>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</si>
  <si>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</si>
  <si>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</si>
  <si>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</si>
  <si>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</si>
  <si>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</si>
  <si>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</si>
  <si>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</si>
  <si>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</si>
  <si>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</si>
  <si>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</si>
  <si>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</si>
  <si>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</si>
  <si>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</si>
  <si>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</si>
  <si>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</si>
  <si>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</si>
  <si>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</si>
  <si>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</si>
  <si>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</si>
  <si>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</si>
  <si>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</si>
  <si>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</si>
  <si>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</si>
  <si>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</si>
  <si>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</si>
  <si>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</si>
  <si>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</si>
  <si>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</si>
  <si>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</si>
  <si>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</si>
  <si>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</si>
  <si>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</si>
  <si>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</si>
  <si>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</si>
  <si>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</si>
  <si>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</si>
  <si>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</si>
  <si>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</si>
  <si>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</si>
  <si>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</si>
  <si>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</si>
  <si>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</si>
  <si>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</si>
  <si>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</si>
  <si>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</si>
  <si>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</si>
  <si>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</si>
  <si>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</si>
  <si>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</si>
  <si>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</si>
  <si>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</si>
  <si>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</si>
  <si>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</si>
  <si>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</si>
  <si>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</si>
  <si>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</si>
  <si>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</si>
  <si>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</si>
  <si>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</si>
  <si>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</si>
  <si>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</si>
  <si>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</si>
  <si>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</si>
  <si>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</si>
  <si>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</si>
  <si>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</si>
  <si>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</si>
  <si>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</si>
  <si>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</si>
  <si>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</si>
  <si>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</si>
  <si>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</si>
  <si>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</si>
  <si>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</si>
  <si>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</si>
  <si>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</si>
  <si>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</si>
  <si>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</si>
  <si>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</si>
  <si>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</si>
  <si>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</si>
  <si>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</si>
  <si>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</si>
  <si>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</si>
  <si>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</si>
  <si>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</si>
  <si>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</si>
  <si>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</si>
  <si>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</si>
  <si>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</si>
  <si>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</si>
  <si>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</si>
  <si>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</si>
  <si>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</si>
  <si>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</si>
  <si>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</si>
  <si>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</si>
  <si>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</si>
  <si>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</si>
  <si>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</si>
  <si>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</si>
  <si>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</si>
  <si>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</si>
  <si>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</si>
  <si>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</si>
  <si>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</si>
  <si>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</si>
  <si>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</si>
  <si>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</si>
  <si>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</si>
  <si>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</si>
  <si>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</si>
  <si>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</si>
  <si>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</si>
  <si>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</si>
  <si>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</si>
  <si>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</si>
  <si>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</si>
  <si>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</si>
  <si>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</si>
  <si>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</si>
  <si>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</si>
  <si>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</si>
  <si>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</si>
  <si>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</si>
  <si>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</si>
  <si>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</si>
  <si>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</si>
  <si>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</si>
  <si>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</si>
  <si>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</si>
  <si>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</si>
  <si>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</si>
  <si>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</si>
  <si>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</si>
  <si>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</si>
  <si>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</si>
  <si>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</si>
  <si>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</si>
  <si>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</si>
  <si>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</si>
  <si>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</si>
  <si>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</si>
  <si>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</si>
  <si>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</si>
  <si>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</si>
  <si>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</si>
  <si>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</si>
  <si>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</si>
  <si>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</si>
  <si>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</si>
  <si>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</si>
  <si>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</si>
  <si>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</si>
  <si>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</si>
  <si>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</si>
  <si>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</si>
  <si>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</si>
  <si>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</si>
  <si>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</si>
  <si>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</si>
  <si>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</si>
  <si>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</si>
  <si>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</si>
  <si>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</si>
  <si>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</si>
  <si>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</si>
  <si>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</si>
  <si>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</si>
  <si>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</si>
  <si>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</si>
  <si>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</si>
  <si>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</si>
  <si>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</si>
  <si>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</si>
  <si>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</si>
  <si>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</si>
  <si>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</si>
  <si>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</si>
  <si>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</si>
  <si>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</si>
  <si>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</si>
  <si>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</si>
  <si>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</si>
  <si>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</si>
  <si>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</si>
  <si>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</si>
  <si>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</si>
  <si>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</si>
  <si>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</si>
  <si>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</si>
  <si>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</si>
  <si>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</si>
  <si>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</si>
  <si>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</si>
  <si>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</si>
  <si>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</si>
  <si>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</si>
  <si>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</si>
  <si>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</si>
  <si>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</si>
  <si>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</si>
  <si>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</si>
  <si>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</si>
  <si>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</si>
  <si>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</si>
  <si>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</si>
  <si>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</si>
  <si>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</si>
  <si>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</si>
  <si>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</si>
  <si>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</si>
  <si>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</si>
  <si>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</si>
  <si>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</si>
  <si>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</si>
  <si>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</si>
  <si>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</si>
  <si>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</si>
  <si>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</si>
  <si>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</si>
  <si>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</si>
  <si>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</si>
  <si>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</si>
  <si>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</si>
  <si>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</si>
  <si>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</si>
  <si>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</si>
  <si>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</si>
  <si>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</si>
  <si>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</si>
  <si>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</si>
  <si>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</si>
  <si>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</si>
  <si>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</si>
  <si>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</si>
  <si>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</si>
  <si>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</si>
  <si>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</si>
  <si>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</si>
  <si>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</si>
  <si>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</si>
  <si>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</si>
  <si>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</si>
  <si>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</si>
  <si>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</si>
  <si>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</si>
  <si>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</si>
  <si>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</si>
  <si>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</si>
  <si>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</si>
  <si>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</si>
  <si>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</si>
  <si>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</si>
  <si>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</si>
  <si>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</si>
  <si>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</si>
  <si>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</si>
  <si>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</si>
  <si>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</si>
  <si>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</si>
  <si>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</si>
  <si>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</si>
  <si>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</si>
  <si>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</si>
  <si>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</si>
  <si>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</si>
  <si>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</si>
  <si>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</si>
  <si>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</si>
  <si>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</si>
  <si>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</si>
  <si>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</si>
  <si>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</si>
  <si>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</si>
  <si>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</si>
  <si>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</si>
  <si>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</si>
  <si>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</si>
  <si>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</si>
  <si>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</si>
  <si>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</si>
  <si>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</si>
  <si>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</si>
  <si>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</si>
  <si>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</si>
  <si>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</si>
  <si>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</si>
  <si>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</si>
  <si>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</si>
  <si>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</si>
  <si>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</si>
  <si>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</si>
  <si>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</si>
  <si>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</si>
  <si>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</si>
  <si>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</si>
  <si>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</si>
  <si>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</si>
  <si>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</si>
  <si>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</si>
  <si>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</si>
  <si>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</si>
  <si>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</si>
  <si>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</si>
  <si>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</si>
  <si>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</si>
  <si>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</si>
  <si>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</si>
  <si>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</si>
  <si>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</si>
  <si>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</si>
  <si>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</si>
  <si>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</si>
  <si>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</si>
  <si>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</si>
  <si>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</si>
  <si>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</si>
  <si>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</si>
  <si>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</si>
  <si>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</si>
  <si>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</si>
  <si>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</si>
  <si>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</si>
  <si>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</si>
  <si>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</si>
  <si>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</si>
  <si>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</si>
  <si>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</si>
  <si>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</si>
  <si>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</si>
  <si>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</si>
  <si>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</si>
  <si>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</si>
  <si>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</si>
  <si>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</si>
  <si>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</si>
  <si>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</si>
  <si>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</si>
  <si>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</si>
  <si>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</si>
  <si>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</si>
  <si>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</si>
  <si>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</si>
  <si>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</si>
  <si>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</si>
  <si>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</si>
  <si>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</si>
  <si>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</si>
  <si>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</si>
  <si>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</si>
  <si>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</si>
  <si>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</si>
  <si>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</si>
  <si>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</si>
  <si>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</si>
  <si>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</si>
  <si>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</si>
  <si>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</si>
  <si>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</si>
  <si>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</si>
  <si>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</si>
  <si>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</si>
  <si>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</si>
  <si>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</si>
  <si>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</si>
  <si>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</si>
  <si>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</si>
  <si>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</si>
  <si>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</si>
  <si>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</si>
  <si>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</si>
  <si>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</si>
  <si>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</si>
  <si>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</si>
  <si>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</si>
  <si>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</si>
  <si>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</si>
  <si>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</si>
  <si>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</si>
  <si>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</si>
  <si>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</si>
  <si>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</si>
  <si>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</si>
  <si>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</si>
  <si>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</si>
  <si>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</si>
  <si>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</si>
  <si>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</si>
  <si>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</si>
  <si>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</si>
  <si>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</si>
  <si>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</si>
  <si>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</si>
  <si>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</si>
  <si>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</si>
  <si>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</si>
  <si>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</si>
  <si>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</si>
  <si>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</si>
  <si>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</si>
  <si>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</si>
  <si>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</si>
  <si>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</si>
  <si>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</si>
  <si>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</si>
  <si>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</si>
  <si>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</si>
  <si>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</si>
  <si>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</si>
  <si>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</si>
  <si>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</si>
  <si>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</si>
  <si>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</si>
  <si>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</si>
  <si>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</si>
  <si>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</si>
  <si>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</si>
  <si>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</si>
  <si>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</si>
  <si>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</si>
  <si>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</si>
  <si>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</si>
  <si>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</si>
  <si>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</si>
  <si>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</si>
  <si>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</si>
  <si>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</si>
  <si>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</si>
  <si>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</si>
  <si>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</si>
  <si>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</si>
  <si>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</si>
  <si>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</si>
  <si>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</si>
  <si>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</si>
  <si>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</si>
  <si>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</si>
  <si>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</si>
  <si>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</si>
  <si>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</si>
  <si>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</si>
  <si>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</si>
  <si>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</si>
  <si>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</si>
  <si>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</si>
  <si>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</si>
  <si>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</si>
  <si>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</si>
  <si>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</si>
  <si>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</si>
  <si>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</si>
  <si>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</si>
  <si>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</si>
  <si>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</si>
  <si>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</si>
  <si>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</si>
  <si>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</si>
  <si>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</si>
  <si>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</si>
  <si>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</si>
  <si>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</si>
  <si>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</si>
  <si>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</si>
  <si>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</si>
  <si>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</si>
  <si>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</si>
  <si>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</si>
  <si>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</si>
  <si>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</si>
  <si>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</si>
  <si>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</si>
  <si>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</si>
  <si>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</si>
  <si>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</si>
  <si>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</si>
  <si>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</si>
  <si>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</si>
  <si>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</si>
  <si>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</si>
  <si>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</si>
  <si>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</si>
  <si>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</si>
  <si>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</si>
  <si>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</si>
  <si>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</si>
  <si>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</si>
  <si>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</si>
  <si>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</si>
  <si>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</si>
  <si>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</si>
  <si>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</si>
  <si>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</si>
  <si>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</si>
  <si>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</si>
  <si>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</si>
  <si>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</si>
  <si>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</si>
  <si>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</si>
  <si>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</si>
  <si>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</si>
  <si>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</si>
  <si>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</si>
  <si>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</si>
  <si>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</si>
  <si>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</si>
  <si>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</si>
  <si>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</si>
  <si>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</si>
  <si>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</si>
  <si>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</si>
  <si>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</si>
  <si>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</si>
  <si>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</si>
  <si>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</si>
  <si>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</si>
  <si>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</si>
  <si>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</si>
  <si>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</si>
  <si>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</si>
  <si>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</si>
  <si>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</si>
  <si>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</si>
  <si>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</si>
  <si>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</si>
  <si>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</si>
  <si>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</si>
  <si>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</si>
  <si>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</si>
  <si>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</si>
  <si>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</si>
  <si>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</si>
  <si>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</si>
  <si>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</si>
  <si>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</si>
  <si>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</si>
  <si>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</si>
  <si>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</si>
  <si>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</si>
  <si>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</si>
  <si>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</si>
  <si>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</si>
  <si>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</si>
  <si>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</si>
  <si>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</si>
  <si>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</si>
  <si>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</si>
  <si>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</si>
  <si>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</si>
  <si>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</si>
  <si>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</si>
  <si>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</si>
  <si>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</si>
  <si>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</si>
  <si>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</si>
  <si>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</si>
  <si>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</si>
  <si>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</si>
  <si>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</si>
  <si>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</si>
  <si>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</si>
  <si>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</si>
  <si>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</si>
  <si>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</si>
  <si>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</si>
  <si>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</si>
  <si>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</si>
  <si>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</si>
  <si>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</si>
  <si>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</si>
  <si>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</si>
  <si>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</si>
  <si>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</si>
  <si>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</si>
  <si>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</si>
  <si>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</si>
  <si>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</si>
  <si>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</si>
  <si>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</si>
  <si>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</si>
  <si>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</si>
  <si>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</si>
  <si>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</si>
  <si>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</si>
  <si>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</si>
  <si>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</si>
  <si>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</si>
  <si>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</si>
  <si>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</si>
  <si>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</si>
  <si>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</si>
  <si>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</si>
  <si>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</si>
  <si>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</si>
  <si>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</si>
  <si>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</si>
  <si>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</si>
  <si>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</si>
  <si>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</si>
  <si>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</si>
  <si>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</si>
  <si>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</si>
  <si>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</si>
  <si>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</si>
  <si>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</si>
  <si>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</si>
  <si>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</si>
  <si>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</si>
  <si>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</si>
  <si>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</si>
  <si>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</si>
  <si>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</si>
  <si>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</si>
  <si>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</si>
  <si>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</si>
  <si>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</si>
  <si>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</si>
  <si>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</si>
  <si>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</si>
  <si>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</si>
  <si>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</si>
  <si>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</si>
  <si>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</si>
  <si>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</si>
  <si>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</si>
  <si>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</si>
  <si>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</si>
  <si>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</si>
  <si>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</si>
  <si>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</si>
  <si>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</si>
  <si>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</si>
  <si>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</si>
  <si>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</si>
  <si>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</si>
  <si>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</si>
  <si>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</si>
  <si>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</si>
  <si>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</si>
  <si>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</si>
  <si>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</si>
  <si>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</si>
  <si>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</si>
  <si>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</si>
  <si>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</si>
  <si>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</si>
  <si>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</si>
  <si>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</si>
  <si>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</si>
  <si>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</si>
  <si>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</si>
  <si>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</si>
  <si>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</si>
  <si>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</si>
  <si>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</si>
  <si>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</si>
  <si>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</si>
  <si>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</si>
  <si>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</si>
  <si>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</si>
  <si>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</si>
  <si>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</si>
  <si>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</si>
  <si>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</si>
  <si>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</si>
  <si>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</si>
  <si>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</si>
  <si>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</si>
  <si>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</si>
  <si>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</si>
  <si>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</si>
  <si>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</si>
  <si>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</si>
  <si>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</si>
  <si>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</si>
  <si>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</si>
  <si>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</si>
  <si>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</si>
  <si>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</si>
  <si>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</si>
  <si>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</si>
  <si>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</si>
  <si>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</si>
  <si>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</si>
  <si>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</si>
  <si>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</si>
  <si>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</si>
  <si>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</si>
  <si>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</si>
  <si>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</si>
  <si>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</si>
  <si>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</si>
  <si>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</si>
  <si>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</si>
  <si>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</si>
  <si>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</si>
  <si>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</si>
  <si>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</si>
  <si>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</si>
  <si>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</si>
  <si>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</si>
  <si>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</si>
  <si>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</si>
  <si>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</si>
  <si>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</si>
  <si>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</si>
  <si>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</si>
  <si>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</si>
  <si>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</si>
  <si>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</si>
  <si>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</si>
  <si>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</si>
  <si>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</si>
  <si>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</si>
  <si>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</si>
  <si>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</si>
  <si>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</si>
  <si>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</si>
  <si>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</si>
  <si>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</si>
  <si>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</si>
  <si>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</si>
  <si>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</si>
  <si>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</si>
  <si>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</si>
  <si>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</si>
  <si>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</si>
  <si>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</si>
  <si>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</si>
  <si>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</si>
  <si>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</si>
  <si>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</si>
  <si>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</si>
  <si>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</si>
  <si>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</si>
  <si>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</si>
  <si>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</si>
  <si>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</si>
  <si>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</si>
  <si>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</si>
  <si>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</si>
  <si>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</si>
  <si>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</si>
  <si>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</si>
  <si>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</si>
  <si>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</si>
  <si>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</si>
  <si>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</si>
  <si>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</si>
  <si>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</si>
  <si>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</si>
  <si>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</si>
  <si>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</si>
  <si>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</si>
  <si>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</si>
  <si>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</si>
  <si>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</si>
  <si>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</si>
  <si>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</si>
  <si>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</si>
  <si>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</si>
  <si>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</si>
  <si>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</si>
  <si>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</si>
  <si>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</si>
  <si>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</si>
  <si>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</si>
  <si>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</si>
  <si>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</si>
  <si>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</si>
  <si>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</si>
  <si>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</si>
  <si>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</si>
  <si>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</si>
  <si>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</si>
  <si>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</si>
  <si>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</si>
  <si>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</si>
  <si>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</si>
  <si>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</si>
  <si>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</si>
  <si>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</si>
  <si>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</si>
  <si>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</si>
  <si>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</si>
  <si>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</si>
  <si>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</si>
  <si>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</si>
  <si>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</si>
  <si>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</si>
  <si>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</si>
  <si>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</si>
  <si>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</si>
  <si>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</si>
  <si>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</si>
  <si>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</si>
  <si>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</si>
  <si>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</si>
  <si>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</si>
  <si>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</si>
  <si>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</si>
  <si>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</si>
  <si>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</si>
  <si>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</si>
  <si>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</si>
  <si>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</si>
  <si>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</si>
  <si>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</si>
  <si>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</si>
  <si>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</si>
  <si>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</si>
  <si>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</si>
  <si>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</si>
  <si>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</si>
  <si>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</si>
  <si>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</si>
  <si>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</si>
  <si>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</si>
  <si>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</si>
  <si>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</si>
  <si>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</si>
  <si>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</si>
  <si>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</si>
  <si>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</si>
  <si>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</si>
  <si>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</si>
  <si>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</si>
  <si>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</si>
  <si>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</si>
  <si>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</si>
  <si>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</si>
  <si>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</si>
  <si>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</si>
  <si>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</si>
  <si>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</si>
  <si>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</si>
  <si>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</si>
  <si>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</si>
  <si>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</si>
  <si>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</si>
  <si>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</si>
  <si>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</si>
  <si>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</si>
  <si>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</si>
  <si>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</si>
  <si>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</si>
  <si>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</si>
  <si>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</si>
  <si>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</si>
  <si>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</si>
  <si>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</si>
  <si>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</si>
  <si>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</si>
  <si>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</si>
  <si>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</si>
  <si>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</si>
  <si>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</si>
  <si>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</si>
  <si>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</si>
  <si>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</si>
  <si>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</si>
  <si>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</si>
  <si>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</si>
  <si>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</si>
  <si>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</si>
  <si>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</si>
  <si>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</si>
  <si>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</si>
  <si>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</si>
  <si>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</si>
  <si>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</si>
  <si>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</si>
  <si>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</si>
  <si>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</si>
  <si>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</si>
  <si>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</si>
  <si>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</si>
  <si>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</si>
  <si>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</si>
  <si>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</si>
  <si>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</si>
  <si>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</si>
  <si>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</si>
  <si>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</si>
  <si>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</si>
  <si>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</si>
  <si>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</si>
  <si>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</si>
  <si>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</si>
  <si>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</si>
  <si>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</si>
  <si>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</si>
  <si>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</si>
  <si>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</si>
  <si>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</si>
  <si>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</si>
  <si>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</si>
  <si>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</si>
  <si>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</si>
  <si>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</si>
  <si>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</si>
  <si>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</si>
  <si>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</si>
  <si>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</si>
  <si>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</si>
  <si>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</si>
  <si>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</si>
  <si>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</si>
  <si>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</si>
  <si>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</si>
  <si>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</si>
  <si>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</si>
  <si>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</si>
  <si>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</si>
  <si>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</si>
  <si>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</si>
  <si>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</si>
  <si>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</si>
  <si>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</si>
  <si>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</si>
  <si>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</si>
  <si>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</si>
  <si>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</si>
  <si>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</si>
  <si>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</si>
  <si>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</si>
  <si>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</si>
  <si>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</si>
  <si>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</si>
  <si>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</si>
  <si>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</si>
  <si>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</si>
  <si>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</si>
  <si>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</si>
  <si>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</si>
  <si>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</si>
  <si>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</si>
  <si>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</si>
  <si>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</si>
  <si>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</si>
  <si>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</si>
  <si>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</si>
  <si>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</si>
  <si>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</si>
  <si>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</si>
  <si>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</si>
  <si>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</si>
  <si>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</si>
  <si>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</si>
  <si>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</si>
  <si>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</si>
  <si>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</si>
  <si>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</si>
  <si>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</si>
  <si>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</si>
  <si>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</si>
  <si>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</si>
  <si>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</si>
  <si>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</si>
  <si>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</si>
  <si>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</si>
  <si>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</si>
  <si>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</si>
  <si>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</si>
  <si>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</si>
  <si>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</si>
  <si>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</si>
  <si>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</si>
  <si>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</si>
  <si>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</si>
  <si>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</si>
  <si>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</si>
  <si>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</si>
  <si>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</si>
  <si>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</si>
  <si>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</si>
  <si>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</si>
  <si>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</si>
  <si>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</si>
  <si>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</si>
  <si>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</si>
  <si>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</si>
  <si>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</si>
  <si>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</si>
  <si>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</si>
  <si>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</si>
  <si>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</si>
  <si>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</si>
  <si>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</si>
  <si>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</si>
  <si>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</si>
  <si>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</si>
  <si>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</si>
  <si>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</si>
  <si>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</si>
  <si>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</si>
  <si>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</si>
  <si>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</si>
  <si>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</si>
  <si>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</si>
  <si>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</si>
  <si>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</si>
  <si>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</si>
  <si>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</si>
  <si>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</si>
  <si>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</si>
  <si>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</si>
  <si>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</si>
  <si>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</si>
  <si>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</si>
  <si>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</si>
  <si>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</si>
  <si>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</si>
  <si>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</si>
  <si>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</si>
  <si>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</si>
  <si>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</si>
  <si>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</si>
  <si>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</si>
  <si>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</si>
  <si>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</si>
  <si>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</si>
  <si>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</si>
  <si>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</si>
  <si>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</si>
  <si>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</si>
  <si>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</si>
  <si>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</si>
  <si>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</si>
  <si>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</si>
  <si>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</si>
  <si>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</si>
  <si>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</si>
  <si>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</si>
  <si>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</si>
  <si>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</si>
  <si>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</si>
  <si>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</si>
  <si>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</si>
  <si>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</si>
  <si>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</si>
  <si>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</si>
  <si>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</si>
  <si>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</si>
  <si>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</si>
  <si>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</si>
  <si>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</si>
  <si>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</si>
  <si>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</si>
  <si>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</si>
  <si>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</si>
  <si>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</si>
  <si>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</si>
  <si>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</si>
  <si>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</si>
  <si>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</si>
  <si>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</si>
  <si>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</si>
  <si>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</si>
  <si>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</si>
  <si>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</si>
  <si>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</si>
  <si>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</si>
  <si>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</si>
  <si>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</si>
  <si>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</si>
  <si>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</si>
  <si>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</si>
  <si>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</si>
  <si>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</si>
  <si>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</si>
  <si>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</si>
  <si>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</si>
  <si>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</si>
  <si>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</si>
  <si>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</si>
  <si>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</si>
  <si>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</si>
  <si>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</si>
  <si>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</si>
  <si>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</si>
  <si>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</si>
  <si>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</si>
  <si>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</si>
  <si>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</si>
  <si>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</si>
  <si>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</si>
  <si>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</si>
  <si>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</si>
  <si>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</si>
  <si>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</si>
  <si>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</si>
  <si>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</si>
  <si>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</si>
  <si>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</si>
  <si>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</si>
  <si>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</si>
  <si>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</si>
  <si>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</si>
  <si>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</si>
  <si>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</si>
  <si>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</si>
  <si>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</si>
  <si>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</si>
  <si>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</si>
  <si>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</si>
  <si>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</si>
  <si>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</si>
  <si>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</si>
  <si>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</si>
  <si>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</si>
  <si>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</si>
  <si>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</si>
  <si>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</si>
  <si>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</si>
  <si>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</si>
  <si>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</si>
  <si>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</si>
  <si>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</si>
  <si>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</si>
  <si>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</si>
  <si>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</si>
  <si>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</si>
  <si>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</si>
  <si>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</si>
  <si>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</si>
  <si>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</si>
  <si>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</si>
  <si>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</si>
  <si>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</si>
  <si>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</si>
  <si>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</si>
  <si>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</si>
  <si>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</si>
  <si>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</si>
  <si>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</si>
  <si>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</si>
  <si>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</si>
  <si>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</si>
  <si>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</si>
  <si>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</si>
  <si>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</si>
  <si>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</si>
  <si>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</si>
  <si>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</si>
  <si>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</si>
  <si>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</si>
  <si>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</si>
  <si>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</si>
  <si>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</si>
  <si>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</si>
  <si>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</si>
  <si>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</si>
  <si>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</si>
  <si>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</si>
  <si>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</si>
  <si>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</si>
  <si>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</si>
  <si>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</si>
  <si>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</si>
  <si>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</si>
  <si>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</si>
  <si>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</si>
  <si>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</si>
  <si>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</si>
  <si>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</si>
  <si>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</si>
  <si>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</si>
  <si>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</si>
  <si>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</si>
  <si>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</si>
  <si>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</si>
  <si>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</si>
  <si>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</si>
  <si>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</si>
  <si>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</si>
  <si>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</si>
  <si>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</si>
  <si>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</si>
  <si>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</si>
  <si>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</si>
  <si>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</si>
  <si>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</si>
  <si>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</si>
  <si>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</si>
  <si>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</si>
  <si>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</si>
  <si>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</si>
  <si>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</si>
  <si>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</si>
  <si>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</si>
  <si>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</si>
  <si>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</si>
  <si>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</si>
  <si>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</si>
  <si>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</si>
  <si>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</si>
  <si>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</si>
  <si>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</si>
  <si>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</si>
  <si>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</si>
  <si>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</si>
  <si>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</si>
  <si>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</si>
  <si>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</si>
  <si>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</si>
  <si>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</si>
  <si>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</si>
  <si>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</si>
  <si>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</si>
  <si>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</si>
  <si>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</si>
  <si>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</si>
  <si>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</si>
  <si>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</si>
  <si>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</si>
  <si>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</si>
  <si>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</si>
  <si>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</si>
  <si>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</si>
  <si>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</si>
  <si>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</si>
  <si>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</si>
  <si>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</si>
  <si>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</si>
  <si>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</si>
  <si>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</si>
  <si>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</si>
  <si>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</si>
  <si>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</si>
  <si>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</si>
  <si>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</si>
  <si>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</si>
  <si>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</si>
  <si>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</si>
  <si>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</si>
  <si>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</si>
  <si>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</si>
  <si>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</si>
  <si>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</si>
  <si>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</si>
  <si>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</si>
  <si>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</si>
  <si>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</si>
  <si>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</si>
  <si>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</si>
  <si>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</si>
  <si>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</si>
  <si>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</si>
  <si>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</si>
  <si>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</si>
  <si>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</si>
  <si>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</si>
  <si>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</si>
  <si>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</si>
  <si>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</si>
  <si>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</si>
  <si>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</si>
  <si>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</si>
  <si>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</si>
  <si>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</si>
  <si>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</si>
  <si>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</si>
  <si>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</si>
  <si>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</si>
  <si>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</si>
  <si>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</si>
  <si>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</si>
  <si>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</si>
  <si>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</si>
  <si>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</si>
  <si>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</si>
  <si>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</si>
  <si>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</si>
  <si>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</si>
  <si>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</si>
  <si>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</si>
  <si>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</si>
  <si>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</si>
  <si>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</si>
  <si>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</si>
  <si>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</si>
  <si>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</si>
  <si>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</si>
  <si>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</si>
  <si>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</si>
  <si>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</si>
  <si>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</si>
  <si>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</si>
  <si>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</si>
  <si>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</si>
  <si>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</si>
  <si>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</si>
  <si>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</si>
  <si>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</si>
  <si>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</si>
  <si>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</si>
  <si>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</si>
  <si>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</si>
  <si>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</si>
  <si>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</si>
  <si>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</si>
  <si>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</si>
  <si>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</si>
  <si>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</si>
  <si>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</si>
  <si>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</si>
  <si>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</si>
  <si>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</si>
  <si>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</si>
  <si>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</si>
  <si>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</si>
  <si>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</si>
  <si>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</si>
  <si>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</si>
  <si>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</si>
  <si>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</si>
  <si>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</si>
  <si>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</si>
  <si>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</si>
  <si>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</si>
  <si>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</si>
  <si>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</si>
  <si>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</si>
  <si>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</si>
  <si>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</si>
  <si>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</si>
  <si>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</si>
  <si>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</si>
  <si>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</si>
  <si>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</si>
  <si>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</si>
  <si>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</si>
  <si>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</si>
  <si>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</si>
  <si>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</si>
  <si>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</si>
  <si>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</si>
  <si>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</si>
  <si>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</si>
  <si>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</si>
  <si>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</si>
  <si>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</si>
  <si>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</si>
  <si>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</si>
  <si>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</si>
  <si>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</si>
  <si>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</si>
  <si>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</si>
  <si>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</si>
  <si>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</si>
  <si>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</si>
  <si>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</si>
  <si>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</si>
  <si>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</si>
  <si>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</si>
  <si>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</si>
  <si>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</si>
  <si>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</si>
  <si>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</si>
  <si>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</si>
  <si>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</si>
  <si>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</si>
  <si>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</si>
  <si>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</si>
  <si>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</si>
  <si>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</si>
  <si>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</si>
  <si>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</si>
  <si>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</si>
  <si>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</si>
  <si>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</si>
  <si>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</si>
  <si>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</si>
  <si>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</si>
  <si>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</si>
  <si>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</si>
  <si>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</si>
  <si>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</si>
  <si>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</si>
  <si>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</si>
  <si>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</si>
  <si>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</si>
  <si>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</si>
  <si>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</si>
  <si>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</si>
  <si>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</si>
  <si>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</si>
  <si>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</si>
  <si>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</si>
  <si>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</si>
  <si>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</si>
  <si>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</si>
  <si>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</si>
  <si>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</si>
  <si>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</si>
  <si>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</si>
  <si>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</si>
  <si>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</si>
  <si>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</si>
  <si>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</si>
  <si>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</si>
  <si>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</si>
  <si>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</si>
  <si>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</si>
  <si>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</si>
  <si>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</si>
  <si>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</si>
  <si>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</si>
  <si>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</si>
  <si>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</si>
  <si>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</si>
  <si>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</si>
  <si>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</si>
  <si>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</si>
  <si>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</si>
  <si>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</si>
  <si>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</si>
  <si>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</si>
  <si>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</si>
  <si>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</si>
  <si>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</si>
  <si>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</si>
  <si>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</si>
  <si>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</si>
  <si>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</si>
  <si>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</si>
  <si>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</si>
  <si>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</si>
  <si>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</si>
  <si>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</si>
  <si>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</si>
  <si>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</si>
  <si>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</si>
  <si>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</si>
  <si>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</si>
  <si>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</si>
  <si>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</si>
  <si>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</si>
  <si>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</si>
  <si>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</si>
  <si>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</si>
  <si>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</si>
  <si>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</si>
  <si>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</si>
  <si>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</si>
  <si>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</si>
  <si>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</si>
  <si>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</si>
  <si>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</si>
  <si>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</si>
  <si>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</si>
  <si>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</si>
  <si>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</si>
  <si>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</si>
  <si>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</si>
  <si>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</si>
  <si>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</si>
  <si>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</si>
  <si>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</si>
  <si>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</si>
  <si>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</si>
  <si>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</si>
  <si>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</si>
  <si>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</si>
  <si>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</si>
  <si>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</si>
  <si>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</si>
  <si>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</si>
  <si>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</si>
  <si>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</si>
  <si>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</si>
  <si>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</si>
  <si>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</si>
  <si>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</si>
  <si>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</si>
  <si>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</si>
  <si>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</si>
  <si>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</si>
  <si>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</si>
  <si>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</si>
  <si>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</si>
  <si>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</si>
  <si>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</si>
  <si>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</si>
  <si>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</si>
  <si>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</si>
  <si>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</si>
  <si>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</si>
  <si>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</si>
  <si>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</si>
  <si>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</si>
  <si>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</si>
  <si>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</si>
  <si>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</si>
  <si>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</si>
  <si>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</si>
  <si>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</si>
  <si>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</si>
  <si>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</si>
  <si>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</si>
  <si>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</si>
  <si>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</si>
  <si>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</si>
  <si>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</si>
  <si>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</si>
  <si>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</si>
  <si>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</si>
  <si>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</si>
  <si>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</si>
  <si>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</si>
  <si>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</si>
  <si>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</si>
  <si>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</si>
  <si>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</si>
  <si>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</si>
  <si>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</si>
  <si>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</si>
  <si>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</si>
  <si>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</si>
  <si>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</si>
  <si>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</si>
  <si>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</si>
  <si>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</si>
  <si>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</si>
  <si>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</si>
  <si>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</si>
  <si>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</si>
  <si>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</si>
  <si>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</si>
  <si>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</si>
  <si>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</si>
  <si>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</si>
  <si>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</si>
  <si>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</si>
  <si>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</si>
  <si>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</si>
  <si>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</si>
  <si>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</si>
  <si>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</si>
  <si>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</si>
  <si>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</si>
  <si>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</si>
  <si>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</si>
  <si>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</si>
  <si>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</si>
  <si>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</si>
  <si>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</si>
  <si>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</si>
  <si>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</si>
  <si>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</si>
  <si>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</si>
  <si>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</si>
  <si>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</si>
  <si>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</si>
  <si>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</si>
  <si>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</si>
  <si>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</si>
  <si>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</si>
  <si>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</si>
  <si>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</si>
  <si>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</si>
  <si>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</si>
  <si>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</si>
  <si>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</si>
  <si>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</si>
  <si>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</si>
  <si>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</si>
  <si>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</si>
  <si>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</si>
  <si>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</si>
  <si>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</si>
  <si>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</si>
  <si>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</si>
  <si>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</si>
  <si>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</si>
  <si>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</si>
  <si>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</si>
  <si>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</si>
  <si>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</si>
  <si>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</si>
  <si>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</si>
  <si>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</si>
  <si>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</si>
  <si>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</si>
  <si>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</si>
  <si>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</si>
  <si>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</si>
  <si>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</si>
  <si>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</si>
  <si>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</si>
  <si>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</si>
  <si>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</si>
  <si>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</si>
  <si>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</si>
  <si>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</si>
  <si>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</si>
  <si>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</si>
  <si>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</si>
  <si>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</si>
  <si>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</si>
  <si>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</si>
  <si>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</si>
  <si>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</si>
  <si>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</si>
  <si>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</si>
  <si>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</si>
  <si>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</si>
  <si>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</si>
  <si>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</si>
  <si>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</si>
  <si>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</si>
  <si>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</si>
  <si>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</si>
  <si>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</si>
  <si>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</si>
  <si>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</si>
  <si>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</si>
  <si>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</si>
  <si>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</si>
  <si>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</si>
  <si>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</si>
  <si>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</si>
  <si>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</si>
  <si>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</si>
  <si>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</si>
  <si>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</si>
  <si>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</si>
  <si>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</si>
  <si>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</si>
  <si>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</si>
  <si>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</si>
  <si>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</si>
  <si>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</si>
  <si>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</si>
  <si>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</si>
  <si>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</si>
  <si>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</si>
  <si>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</si>
  <si>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</si>
  <si>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</si>
  <si>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</si>
  <si>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</si>
  <si>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</si>
  <si>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</si>
  <si>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</si>
  <si>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</si>
  <si>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</si>
  <si>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</si>
  <si>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</si>
  <si>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</si>
  <si>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</si>
  <si>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</si>
  <si>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</si>
  <si>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</si>
  <si>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</si>
  <si>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</si>
  <si>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</si>
  <si>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</si>
  <si>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</si>
  <si>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</si>
  <si>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</si>
  <si>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</si>
  <si>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</si>
  <si>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</si>
  <si>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</si>
  <si>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</si>
  <si>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</si>
  <si>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</si>
  <si>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</si>
  <si>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</si>
  <si>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</si>
  <si>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</si>
  <si>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</si>
  <si>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</si>
  <si>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</si>
  <si>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</si>
  <si>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</si>
  <si>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</si>
  <si>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</si>
  <si>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</si>
  <si>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</si>
  <si>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</si>
  <si>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</si>
  <si>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</si>
  <si>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</si>
  <si>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</si>
  <si>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</si>
  <si>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</si>
  <si>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</si>
  <si>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</si>
  <si>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</si>
  <si>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</si>
  <si>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</si>
  <si>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</si>
  <si>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</si>
  <si>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</si>
  <si>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</si>
  <si>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</si>
  <si>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</si>
  <si>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</si>
  <si>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</si>
  <si>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</si>
  <si>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</si>
  <si>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</si>
  <si>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</si>
  <si>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</si>
  <si>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</si>
  <si>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</si>
  <si>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</si>
  <si>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</si>
  <si>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</si>
  <si>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</si>
  <si>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</si>
  <si>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</si>
  <si>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</si>
  <si>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</si>
  <si>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</si>
  <si>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</si>
  <si>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</si>
  <si>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</si>
  <si>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</si>
  <si>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</si>
  <si>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</si>
  <si>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</si>
  <si>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</si>
  <si>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</si>
  <si>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</si>
  <si>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</si>
  <si>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</si>
  <si>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</si>
  <si>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</si>
  <si>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</si>
  <si>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</si>
  <si>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</si>
  <si>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</si>
  <si>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</si>
  <si>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</si>
  <si>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</si>
  <si>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</si>
  <si>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</si>
  <si>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</si>
  <si>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</si>
  <si>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</si>
  <si>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</si>
  <si>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</si>
  <si>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</si>
  <si>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</si>
  <si>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</si>
  <si>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</si>
  <si>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</si>
  <si>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</si>
  <si>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</si>
  <si>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</si>
  <si>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</si>
  <si>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</si>
  <si>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</si>
  <si>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</si>
  <si>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</si>
  <si>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</si>
  <si>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</si>
  <si>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</si>
  <si>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</si>
  <si>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</si>
  <si>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</si>
  <si>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</si>
  <si>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</si>
  <si>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</si>
  <si>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</si>
  <si>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</si>
  <si>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</si>
  <si>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</si>
  <si>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</si>
  <si>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</si>
  <si>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</si>
  <si>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</si>
  <si>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</si>
  <si>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</si>
  <si>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</si>
  <si>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</si>
  <si>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</si>
  <si>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</si>
  <si>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</si>
  <si>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</si>
  <si>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</si>
  <si>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</si>
  <si>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</si>
  <si>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</si>
  <si>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</si>
  <si>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</si>
  <si>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</si>
  <si>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</si>
  <si>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</si>
  <si>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</si>
  <si>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</si>
  <si>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</si>
  <si>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</si>
  <si>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</si>
  <si>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</si>
  <si>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</si>
  <si>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</si>
  <si>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</si>
  <si>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</si>
  <si>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</si>
  <si>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</si>
  <si>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</si>
  <si>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</si>
  <si>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</si>
  <si>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</si>
  <si>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</si>
  <si>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</si>
  <si>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</si>
  <si>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</si>
  <si>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</si>
  <si>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</si>
  <si>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</si>
  <si>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</si>
  <si>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</si>
  <si>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</si>
  <si>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</si>
  <si>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</si>
  <si>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</si>
  <si>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</si>
  <si>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</si>
  <si>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</si>
  <si>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</si>
  <si>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</si>
  <si>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</si>
  <si>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</si>
  <si>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</si>
  <si>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</si>
  <si>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</si>
  <si>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</si>
  <si>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</si>
  <si>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</si>
  <si>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</si>
  <si>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</si>
  <si>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</si>
  <si>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</si>
  <si>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</si>
  <si>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</si>
  <si>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</si>
  <si>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</si>
  <si>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</si>
  <si>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</si>
  <si>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</si>
  <si>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</si>
  <si>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</si>
  <si>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</si>
  <si>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</si>
  <si>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</si>
  <si>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</si>
  <si>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</si>
  <si>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</si>
  <si>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</si>
  <si>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</si>
  <si>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</si>
  <si>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</si>
  <si>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</si>
  <si>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</si>
  <si>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</si>
  <si>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</si>
  <si>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</si>
  <si>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</si>
  <si>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</si>
  <si>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</si>
  <si>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</si>
  <si>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</si>
  <si>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</si>
  <si>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</si>
  <si>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</si>
  <si>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</si>
  <si>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</si>
  <si>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</si>
  <si>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</si>
  <si>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</si>
  <si>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</si>
  <si>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</si>
  <si>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</si>
  <si>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</si>
  <si>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</si>
  <si>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</si>
  <si>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</si>
  <si>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</si>
  <si>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</si>
  <si>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</si>
  <si>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</si>
  <si>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</si>
  <si>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</si>
  <si>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</si>
  <si>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</si>
  <si>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</si>
  <si>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</si>
  <si>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</si>
  <si>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</si>
  <si>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</si>
  <si>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</si>
  <si>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</si>
  <si>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</si>
  <si>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</si>
  <si>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</si>
  <si>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</si>
  <si>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</si>
  <si>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</si>
  <si>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</si>
  <si>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</si>
  <si>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</si>
  <si>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</si>
  <si>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</si>
  <si>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</si>
  <si>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</si>
  <si>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</si>
  <si>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</si>
  <si>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</si>
  <si>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</si>
  <si>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</si>
  <si>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</si>
  <si>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</si>
  <si>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</si>
  <si>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</si>
  <si>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</si>
  <si>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</si>
  <si>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</si>
  <si>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</si>
  <si>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</si>
  <si>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</si>
  <si>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</si>
  <si>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</si>
  <si>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</si>
  <si>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</si>
  <si>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</si>
  <si>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</si>
  <si>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</si>
  <si>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</si>
  <si>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</si>
  <si>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</si>
  <si>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</si>
  <si>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</si>
  <si>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</si>
  <si>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</si>
  <si>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</si>
  <si>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</si>
  <si>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</si>
  <si>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</si>
  <si>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</si>
  <si>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</si>
  <si>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</si>
  <si>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</si>
  <si>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</si>
  <si>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</si>
  <si>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</si>
  <si>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</si>
  <si>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</si>
  <si>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</si>
  <si>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</si>
  <si>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</si>
  <si>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</si>
  <si>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</si>
  <si>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</si>
  <si>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</si>
  <si>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</si>
  <si>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</si>
  <si>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</si>
  <si>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</si>
  <si>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</si>
  <si>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</si>
  <si>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</si>
  <si>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</si>
  <si>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</si>
  <si>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</si>
  <si>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</si>
  <si>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</si>
  <si>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</si>
  <si>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</si>
  <si>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</si>
  <si>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</si>
  <si>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</si>
  <si>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</si>
  <si>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</si>
  <si>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</si>
  <si>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</si>
  <si>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</si>
  <si>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</si>
  <si>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</si>
  <si>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</si>
  <si>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</si>
  <si>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</si>
  <si>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</si>
  <si>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</si>
  <si>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</si>
  <si>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</si>
  <si>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</si>
  <si>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</si>
  <si>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</si>
  <si>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</si>
  <si>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</si>
  <si>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</si>
  <si>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</si>
  <si>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</si>
  <si>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</si>
  <si>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</si>
  <si>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</si>
  <si>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</si>
  <si>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</si>
  <si>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</si>
  <si>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</si>
  <si>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</si>
  <si>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</si>
  <si>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</si>
  <si>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</si>
  <si>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</si>
  <si>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</si>
  <si>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</si>
  <si>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</si>
  <si>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</si>
  <si>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</si>
  <si>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</si>
  <si>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</si>
  <si>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</si>
  <si>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</si>
  <si>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</si>
  <si>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</si>
  <si>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</si>
  <si>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</si>
  <si>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</si>
  <si>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</si>
  <si>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</si>
  <si>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</si>
  <si>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</si>
  <si>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</si>
  <si>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</si>
  <si>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</si>
  <si>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</si>
  <si>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</si>
  <si>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</si>
  <si>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</si>
  <si>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</si>
  <si>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</si>
  <si>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</si>
  <si>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</si>
  <si>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</si>
  <si>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</si>
  <si>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</si>
  <si>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</si>
  <si>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</si>
  <si>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</si>
  <si>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</si>
  <si>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</si>
  <si>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</si>
  <si>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</si>
  <si>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</si>
  <si>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</si>
  <si>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</si>
  <si>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</si>
  <si>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</si>
  <si>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</si>
  <si>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</si>
  <si>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</si>
  <si>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</si>
  <si>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</si>
  <si>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</si>
  <si>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</si>
  <si>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</si>
  <si>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</si>
  <si>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</si>
  <si>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</si>
  <si>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</si>
  <si>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</si>
  <si>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</si>
  <si>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</si>
  <si>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</si>
  <si>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</si>
  <si>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</si>
  <si>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</si>
  <si>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</si>
  <si>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</si>
  <si>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</si>
  <si>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</si>
  <si>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</si>
  <si>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</si>
  <si>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</si>
  <si>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</si>
  <si>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</si>
  <si>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</si>
  <si>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</si>
  <si>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</si>
  <si>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</si>
  <si>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</si>
  <si>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</si>
  <si>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</si>
  <si>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</si>
  <si>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</si>
  <si>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</si>
  <si>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</si>
  <si>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</si>
  <si>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</si>
  <si>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</si>
  <si>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</si>
  <si>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</si>
  <si>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</si>
  <si>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</si>
  <si>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</si>
  <si>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</si>
  <si>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</si>
  <si>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</si>
  <si>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</si>
  <si>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</si>
  <si>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</si>
  <si>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</si>
  <si>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</si>
  <si>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</si>
  <si>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</si>
  <si>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</si>
  <si>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</si>
  <si>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</si>
  <si>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</si>
  <si>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</si>
  <si>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</si>
  <si>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</si>
  <si>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</si>
  <si>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</si>
  <si>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</si>
  <si>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</si>
  <si>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</si>
  <si>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</si>
  <si>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</si>
  <si>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</si>
  <si>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</si>
  <si>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</si>
  <si>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</si>
  <si>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</si>
  <si>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</si>
  <si>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</si>
  <si>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</si>
  <si>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</si>
  <si>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</si>
  <si>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</si>
  <si>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</si>
  <si>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</si>
  <si>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</si>
  <si>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</si>
  <si>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</si>
  <si>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</si>
  <si>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</si>
  <si>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</si>
  <si>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</si>
  <si>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</si>
  <si>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</si>
  <si>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</si>
  <si>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</si>
  <si>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</si>
  <si>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</si>
  <si>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</si>
  <si>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</si>
  <si>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</si>
  <si>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</si>
  <si>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</si>
  <si>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</si>
  <si>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</si>
  <si>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</si>
  <si>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</si>
  <si>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</si>
  <si>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</si>
  <si>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</si>
  <si>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</si>
  <si>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</si>
  <si>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</si>
  <si>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</si>
  <si>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</si>
  <si>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</si>
  <si>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</si>
  <si>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</si>
  <si>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</si>
  <si>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</si>
  <si>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</si>
  <si>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</si>
  <si>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</si>
  <si>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</si>
  <si>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</si>
  <si>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</si>
  <si>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</si>
  <si>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</si>
  <si>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</si>
  <si>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</si>
  <si>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</si>
  <si>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</si>
  <si>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</si>
  <si>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</si>
  <si>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</si>
  <si>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</si>
  <si>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</si>
  <si>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</si>
  <si>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</si>
  <si>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</si>
  <si>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</si>
  <si>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</si>
  <si>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</si>
  <si>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</si>
  <si>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</si>
  <si>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</si>
  <si>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</si>
  <si>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</si>
  <si>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</si>
  <si>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</si>
  <si>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</si>
  <si>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</si>
  <si>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</si>
  <si>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</si>
  <si>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</si>
  <si>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</si>
  <si>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</si>
  <si>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</si>
  <si>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</si>
  <si>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</si>
  <si>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</si>
  <si>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</si>
  <si>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</si>
  <si>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</si>
  <si>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</si>
  <si>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</si>
  <si>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</si>
  <si>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</si>
  <si>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</si>
  <si>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</si>
  <si>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</si>
  <si>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</si>
  <si>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</si>
  <si>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</si>
  <si>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</si>
  <si>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</si>
  <si>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</si>
  <si>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</si>
  <si>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</si>
  <si>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</si>
  <si>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</si>
  <si>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</si>
  <si>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</si>
  <si>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</si>
  <si>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</si>
  <si>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</si>
  <si>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</si>
  <si>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</si>
  <si>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</si>
  <si>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</si>
  <si>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</si>
  <si>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</si>
  <si>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</si>
  <si>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</si>
  <si>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</si>
  <si>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</si>
  <si>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</si>
  <si>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</si>
  <si>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</si>
  <si>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</si>
  <si>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</si>
  <si>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</si>
  <si>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</si>
  <si>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</si>
  <si>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</si>
  <si>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</si>
  <si>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</si>
  <si>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</si>
  <si>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</si>
  <si>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</si>
  <si>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</si>
  <si>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</si>
  <si>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</si>
  <si>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</si>
  <si>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</si>
  <si>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</si>
  <si>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</si>
  <si>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</si>
  <si>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</si>
  <si>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</si>
  <si>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</si>
  <si>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</si>
  <si>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</si>
  <si>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</si>
  <si>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</si>
  <si>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</si>
  <si>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</si>
  <si>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</si>
  <si>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</si>
  <si>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</si>
  <si>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</si>
  <si>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</si>
  <si>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</si>
  <si>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</si>
  <si>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</si>
  <si>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</si>
  <si>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</si>
  <si>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</si>
  <si>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</si>
  <si>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</si>
  <si>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</si>
  <si>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</si>
  <si>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</si>
  <si>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</si>
  <si>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</si>
  <si>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</si>
  <si>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</si>
  <si>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</si>
  <si>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</si>
  <si>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</si>
  <si>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</si>
  <si>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</si>
  <si>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</si>
  <si>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</si>
  <si>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</si>
  <si>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</si>
  <si>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</si>
  <si>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</si>
  <si>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</si>
  <si>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</si>
  <si>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</si>
  <si>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</si>
  <si>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</si>
  <si>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</si>
  <si>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</si>
  <si>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</si>
  <si>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</si>
  <si>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</si>
  <si>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</si>
  <si>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</si>
  <si>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</si>
  <si>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</si>
  <si>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</si>
  <si>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</si>
  <si>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</si>
  <si>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</si>
  <si>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</si>
  <si>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</si>
  <si>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</si>
  <si>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</si>
  <si>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</si>
  <si>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</si>
  <si>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</si>
  <si>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</si>
  <si>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</si>
  <si>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</si>
  <si>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</si>
  <si>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</si>
  <si>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</si>
  <si>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</si>
  <si>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</si>
  <si>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</si>
  <si>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</si>
  <si>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</si>
  <si>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</si>
  <si>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</si>
  <si>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</si>
  <si>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</si>
  <si>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</si>
  <si>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</si>
  <si>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</si>
  <si>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</si>
  <si>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</si>
  <si>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</si>
  <si>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</si>
  <si>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</si>
  <si>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</si>
  <si>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</si>
  <si>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</si>
  <si>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</si>
  <si>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</si>
  <si>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</si>
  <si>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</si>
  <si>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</si>
  <si>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</si>
  <si>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</si>
  <si>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</si>
  <si>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</si>
  <si>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</si>
  <si>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</si>
  <si>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</si>
  <si>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</si>
  <si>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</si>
  <si>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</si>
  <si>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</si>
  <si>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</si>
  <si>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</si>
  <si>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</si>
  <si>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</si>
  <si>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</si>
  <si>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</si>
  <si>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</si>
  <si>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</si>
  <si>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</si>
  <si>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</si>
  <si>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</si>
  <si>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</si>
  <si>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</si>
  <si>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</si>
  <si>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</si>
  <si>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</si>
  <si>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</si>
  <si>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</si>
  <si>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</si>
  <si>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</si>
  <si>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</si>
  <si>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</si>
  <si>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</si>
  <si>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</si>
  <si>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</si>
  <si>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</si>
  <si>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</si>
  <si>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</si>
  <si>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</si>
  <si>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</si>
  <si>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</si>
  <si>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</si>
  <si>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</si>
  <si>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</si>
  <si>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</si>
  <si>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</si>
  <si>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</si>
  <si>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</si>
  <si>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</si>
  <si>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</si>
  <si>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</si>
  <si>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</si>
  <si>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</si>
  <si>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</si>
  <si>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</si>
  <si>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</si>
  <si>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</si>
  <si>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</si>
  <si>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</si>
  <si>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</si>
  <si>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</si>
  <si>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</si>
  <si>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</si>
  <si>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</si>
  <si>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</si>
  <si>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</si>
  <si>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</si>
  <si>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</si>
  <si>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</si>
  <si>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</si>
  <si>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</si>
  <si>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</si>
  <si>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</si>
  <si>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</si>
  <si>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</si>
  <si>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</si>
  <si>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</si>
  <si>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</si>
  <si>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</si>
  <si>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</si>
  <si>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</si>
  <si>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</si>
  <si>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</si>
  <si>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</si>
  <si>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</si>
  <si>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</si>
  <si>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</si>
  <si>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</si>
  <si>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</si>
  <si>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</si>
  <si>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</si>
  <si>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</si>
  <si>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</si>
  <si>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</si>
  <si>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</si>
  <si>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</si>
  <si>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</si>
  <si>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</si>
  <si>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</si>
  <si>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</si>
  <si>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</si>
  <si>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</si>
  <si>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</si>
  <si>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</si>
  <si>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</si>
  <si>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</si>
  <si>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</si>
  <si>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</si>
  <si>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</si>
  <si>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</si>
  <si>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</si>
  <si>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</si>
  <si>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</si>
  <si>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</si>
  <si>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</si>
  <si>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</si>
  <si>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</si>
  <si>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</si>
  <si>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</si>
  <si>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</si>
  <si>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</si>
  <si>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</si>
  <si>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</si>
  <si>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</si>
  <si>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</si>
  <si>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</si>
  <si>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</si>
  <si>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</si>
  <si>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</si>
  <si>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</si>
  <si>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</si>
  <si>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</si>
  <si>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</si>
  <si>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</si>
  <si>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</si>
  <si>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</si>
  <si>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</si>
  <si>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</si>
  <si>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</si>
  <si>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</si>
  <si>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</si>
  <si>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</si>
  <si>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</si>
  <si>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</si>
  <si>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</si>
  <si>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</si>
  <si>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</si>
  <si>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</si>
  <si>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</si>
  <si>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</si>
  <si>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</si>
  <si>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</si>
  <si>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</si>
  <si>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</si>
  <si>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</si>
  <si>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</si>
  <si>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</si>
  <si>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</si>
  <si>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</si>
  <si>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</si>
  <si>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</si>
  <si>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</si>
  <si>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</si>
  <si>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</si>
  <si>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</si>
  <si>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</si>
  <si>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</si>
  <si>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</si>
  <si>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</si>
  <si>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</si>
  <si>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</si>
  <si>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</si>
  <si>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</si>
  <si>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</si>
  <si>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</si>
  <si>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</si>
  <si>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</si>
  <si>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</si>
  <si>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</si>
  <si>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</si>
  <si>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</si>
  <si>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</si>
  <si>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</si>
  <si>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</si>
  <si>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</si>
  <si>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</si>
  <si>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</si>
  <si>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</si>
  <si>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</si>
  <si>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</si>
  <si>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</si>
  <si>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</si>
  <si>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</si>
  <si>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</si>
  <si>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</si>
  <si>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</si>
  <si>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</si>
  <si>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</si>
  <si>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</si>
  <si>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</si>
  <si>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</si>
  <si>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</si>
  <si>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</si>
  <si>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</si>
  <si>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</si>
  <si>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</si>
  <si>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</si>
  <si>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</si>
  <si>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</si>
  <si>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</si>
  <si>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</si>
  <si>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</si>
  <si>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</si>
  <si>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</si>
  <si>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</si>
  <si>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</si>
  <si>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</si>
  <si>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</si>
  <si>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</si>
  <si>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</si>
  <si>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</si>
  <si>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</si>
  <si>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</si>
  <si>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</si>
  <si>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</si>
  <si>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</si>
  <si>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</si>
  <si>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</si>
  <si>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</si>
  <si>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</si>
  <si>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</si>
  <si>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</si>
  <si>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</si>
  <si>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</si>
  <si>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</si>
  <si>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</si>
  <si>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</si>
  <si>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</si>
  <si>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</si>
  <si>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</si>
  <si>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</si>
  <si>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</si>
  <si>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</si>
  <si>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</si>
  <si>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</si>
  <si>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</si>
  <si>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</si>
  <si>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</si>
  <si>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</si>
  <si>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</si>
  <si>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</si>
  <si>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</si>
  <si>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</si>
  <si>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</si>
  <si>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</si>
  <si>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</si>
  <si>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</si>
  <si>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</si>
  <si>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</si>
  <si>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</si>
  <si>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</si>
  <si>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</si>
  <si>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</si>
  <si>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</si>
  <si>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</si>
  <si>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</si>
  <si>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</si>
  <si>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</si>
  <si>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</si>
  <si>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</si>
  <si>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</si>
  <si>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</si>
  <si>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</si>
  <si>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</si>
  <si>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</si>
  <si>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</si>
  <si>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</si>
  <si>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</si>
  <si>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</si>
  <si>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</si>
  <si>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</si>
  <si>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</si>
  <si>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</si>
  <si>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</si>
  <si>
    <t>房屋坐落</t>
  </si>
  <si>
    <t>建筑面积（平方米）</t>
  </si>
  <si>
    <r>
      <t>单价（元</t>
    </r>
    <r>
      <rPr>
        <sz val="9"/>
        <color rgb="FF000000"/>
        <rFont val="Arial"/>
        <family val="2"/>
      </rPr>
      <t>/</t>
    </r>
    <r>
      <rPr>
        <sz val="9"/>
        <color rgb="FF000000"/>
        <rFont val="华文细黑"/>
        <family val="3"/>
        <charset val="134"/>
      </rPr>
      <t>平方米）</t>
    </r>
  </si>
  <si>
    <r>
      <t>昌平区生命园路</t>
    </r>
    <r>
      <rPr>
        <sz val="9"/>
        <color rgb="FF000000"/>
        <rFont val="Arial"/>
        <family val="2"/>
      </rPr>
      <t>20</t>
    </r>
    <r>
      <rPr>
        <sz val="9"/>
        <color rgb="FF000000"/>
        <rFont val="华文细黑"/>
        <family val="3"/>
        <charset val="134"/>
      </rPr>
      <t>号院</t>
    </r>
    <r>
      <rPr>
        <sz val="9"/>
        <color rgb="FF000000"/>
        <rFont val="Arial"/>
        <family val="2"/>
      </rPr>
      <t>1</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</si>
  <si>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2</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</si>
  <si>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3</t>
    </r>
    <r>
      <rPr>
        <sz val="9"/>
        <color rgb="FF000000"/>
        <rFont val="华文细黑"/>
        <family val="3"/>
        <charset val="134"/>
      </rPr>
      <t>号楼</t>
    </r>
    <r>
      <rPr>
        <sz val="9"/>
        <color rgb="FF000000"/>
        <rFont val="Arial"/>
        <family val="2"/>
      </rPr>
      <t>-2</t>
    </r>
    <r>
      <rPr>
        <sz val="9"/>
        <color rgb="FF000000"/>
        <rFont val="华文细黑"/>
        <family val="3"/>
        <charset val="134"/>
      </rPr>
      <t>至</t>
    </r>
    <r>
      <rPr>
        <sz val="9"/>
        <color rgb="FF000000"/>
        <rFont val="Arial"/>
        <family val="2"/>
      </rPr>
      <t>5</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</si>
  <si>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4</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</si>
  <si>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5</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</si>
  <si>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6</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5</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</si>
  <si>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7</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</si>
  <si>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8</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1</t>
    </r>
    <r>
      <rPr>
        <sz val="9"/>
        <color rgb="FF000000"/>
        <rFont val="华文细黑"/>
        <family val="3"/>
        <charset val="134"/>
      </rPr>
      <t>层</t>
    </r>
    <r>
      <rPr>
        <sz val="9"/>
        <color rgb="FF000000"/>
        <rFont val="Arial"/>
        <family val="2"/>
      </rPr>
      <t>101</t>
    </r>
  </si>
  <si>
    <t>自定义容积率</t>
  </si>
  <si>
    <r>
      <t>1</t>
    </r>
    <r>
      <rPr>
        <sz val="11"/>
        <color theme="1"/>
        <rFont val="宋体"/>
        <family val="3"/>
        <charset val="134"/>
        <scheme val="minor"/>
      </rPr>
      <t>#</t>
    </r>
    <phoneticPr fontId="133" type="noConversion"/>
  </si>
  <si>
    <r>
      <t>2</t>
    </r>
    <r>
      <rPr>
        <sz val="11"/>
        <color theme="1"/>
        <rFont val="宋体"/>
        <family val="3"/>
        <charset val="134"/>
        <scheme val="minor"/>
      </rPr>
      <t>#</t>
    </r>
    <phoneticPr fontId="133" type="noConversion"/>
  </si>
  <si>
    <r>
      <t>3</t>
    </r>
    <r>
      <rPr>
        <sz val="11"/>
        <color theme="1"/>
        <rFont val="宋体"/>
        <family val="3"/>
        <charset val="134"/>
        <scheme val="minor"/>
      </rPr>
      <t>#</t>
    </r>
    <phoneticPr fontId="133" type="noConversion"/>
  </si>
  <si>
    <t>合同面积</t>
    <phoneticPr fontId="133" type="noConversion"/>
  </si>
  <si>
    <t>4#</t>
    <phoneticPr fontId="133" type="noConversion"/>
  </si>
  <si>
    <t>5#</t>
    <phoneticPr fontId="133" type="noConversion"/>
  </si>
  <si>
    <t>6#</t>
    <phoneticPr fontId="133" type="noConversion"/>
  </si>
  <si>
    <t>7#</t>
    <phoneticPr fontId="133" type="noConversion"/>
  </si>
  <si>
    <t>8#</t>
    <phoneticPr fontId="133" type="noConversion"/>
  </si>
  <si>
    <t>建筑面积</t>
    <phoneticPr fontId="133" type="noConversion"/>
  </si>
  <si>
    <t>面积验证</t>
    <phoneticPr fontId="13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</si>
</sst>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8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dotted">
        <color indexed="64"/>
      </left>
      <right style="dotted">
        <color indexed="64"/>
      </right>
      <top style="double">
        <color indexed="64"/>
      </top>
      <bottom style="dotted">
        <color indexed="64"/>
      </bottom>
      <diagonal/>
    </border>
    <border>
      <left/>
      <right style="dotted">
        <color indexed="64"/>
      </right>
      <top style="double">
        <color indexed="64"/>
      </top>
      <bottom style="dotted">
        <color indexed="64"/>
      </bottom>
      <diagonal/>
    </border>
    <border>
      <left style="dotted">
        <color indexed="64"/>
      </left>
      <right style="dotted">
        <color indexed="64"/>
      </right>
      <top/>
      <bottom style="dotted">
        <color indexed="64"/>
      </bottom>
      <diagonal/>
    </border>
    <border>
      <left/>
      <right style="dotted">
        <color indexed="64"/>
      </right>
      <top/>
      <bottom style="dotted">
        <color indexed="64"/>
      </bottom>
      <diagonal/>
    </border>
    <border>
      <left style="dotted">
        <color indexed="64"/>
      </left>
      <right style="dotted">
        <color indexed="64"/>
      </right>
      <top/>
      <bottom style="double">
        <color indexed="64"/>
      </bottom>
      <diagonal/>
    </border>
    <border>
      <left/>
      <right style="dotted">
        <color indexed="64"/>
      </right>
      <top/>
      <bottom style="double">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3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xf numFmtId="0" fontId="263" fillId="0" borderId="176" xfId="0" applyFont="1" applyBorder="1" applyAlignment="1">
      <alignment horizontal="justify" vertical="center"/>
    </xf>
    <xf numFmtId="0" fontId="263" fillId="0" borderId="177" xfId="0" applyFont="1" applyBorder="1" applyAlignment="1">
      <alignment horizontal="justify" vertical="center"/>
    </xf>
    <xf numFmtId="0" fontId="263" fillId="0" borderId="177" xfId="0" applyFont="1" applyBorder="1" applyAlignment="1">
      <alignment horizontal="justify" vertical="center" wrapText="1"/>
    </xf>
    <xf numFmtId="0" fontId="265" fillId="0" borderId="178" xfId="0" applyFont="1" applyBorder="1" applyAlignment="1">
      <alignment horizontal="justify" vertical="center"/>
    </xf>
    <xf numFmtId="0" fontId="263" fillId="0" borderId="179" xfId="0" applyFont="1" applyBorder="1" applyAlignment="1">
      <alignment horizontal="justify" vertical="center"/>
    </xf>
    <xf numFmtId="0" fontId="265" fillId="0" borderId="179" xfId="0" applyFont="1" applyBorder="1" applyAlignment="1">
      <alignment horizontal="justify" vertical="center"/>
    </xf>
    <xf numFmtId="0" fontId="265" fillId="0" borderId="179" xfId="0" applyFont="1" applyBorder="1" applyAlignment="1">
      <alignment horizontal="justify" vertical="center" wrapText="1"/>
    </xf>
    <xf numFmtId="0" fontId="263" fillId="0" borderId="180" xfId="0" applyFont="1" applyBorder="1" applyAlignment="1">
      <alignment horizontal="justify" vertical="center"/>
    </xf>
    <xf numFmtId="0" fontId="265" fillId="0" borderId="181" xfId="0" applyFont="1" applyBorder="1" applyAlignment="1">
      <alignment horizontal="justify" vertical="center"/>
    </xf>
    <xf numFmtId="0" fontId="265" fillId="0" borderId="181" xfId="0" applyFont="1" applyBorder="1" applyAlignment="1">
      <alignment horizontal="justify" vertical="center" wrapText="1"/>
    </xf>
    <xf numFmtId="0" fontId="265" fillId="5" borderId="178" xfId="0" applyFont="1" applyFill="1" applyBorder="1" applyAlignment="1">
      <alignment horizontal="justify" vertical="center"/>
    </xf>
    <xf numFmtId="0" fontId="263" fillId="5" borderId="179" xfId="0" applyFont="1" applyFill="1" applyBorder="1" applyAlignment="1">
      <alignment horizontal="justify" vertical="center"/>
    </xf>
    <xf numFmtId="0" fontId="265" fillId="5" borderId="179" xfId="0" applyFont="1" applyFill="1" applyBorder="1" applyAlignment="1">
      <alignment horizontal="justify" vertical="center"/>
    </xf>
    <xf numFmtId="0" fontId="265" fillId="5" borderId="179" xfId="0" applyFont="1" applyFill="1" applyBorder="1" applyAlignment="1">
      <alignment horizontal="justify" vertical="center" wrapText="1"/>
    </xf>
    <xf numFmtId="181" fontId="44" fillId="22" borderId="1" xfId="0" applyNumberFormat="1" applyFont="1" applyFill="1" applyBorder="1" applyAlignment="1" applyProtection="1">
      <alignment vertical="center"/>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0" fontId="123"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left" vertical="center" wrapText="1"/>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4"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7"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5" fillId="0" borderId="0" xfId="9" applyFont="1" applyAlignment="1">
      <alignment horizontal="left" vertical="center"/>
    </xf>
    <xf numFmtId="0" fontId="102" fillId="0" borderId="0" xfId="9" applyFont="1" applyAlignment="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xf numFmtId="9" fontId="47" fillId="18" borderId="5" xfId="0" applyNumberFormat="1" applyFont="1" applyFill="1" applyBorder="1" applyAlignment="1" applyProtection="1">
      <alignment horizontal="center" vertical="center"/>
      <protection locked="0"/>
    </xf>
    <xf numFmtId="179" fontId="44" fillId="18" borderId="23" xfId="0" applyNumberFormat="1" applyFont="1" applyFill="1" applyBorder="1" applyAlignment="1" applyProtection="1">
      <alignment horizontal="center" vertical="center"/>
      <protection locked="0"/>
    </xf>
    <xf numFmtId="0" fontId="96" fillId="0" borderId="0" xfId="0" applyFont="1">
      <alignment vertical="center"/>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47</xdr:row>
      <xdr:rowOff>46669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15637.42平方米，建筑面积为17559.11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15637.42平方米，规划建筑面积为17559.11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14648</v>
      </c>
    </row>
    <row r="21" spans="1:2" s="1202" customFormat="1">
      <c r="A21" s="1200" t="s">
        <v>537</v>
      </c>
      <c r="B21" s="1201">
        <f ca="1">'预评函-2'!D7</f>
        <v>8342</v>
      </c>
    </row>
    <row r="22" spans="1:2" s="1202" customFormat="1">
      <c r="A22" s="1200" t="s">
        <v>538</v>
      </c>
      <c r="B22" s="1201" t="str">
        <f ca="1">'预评函-2'!D6</f>
        <v>壹亿肆仟陆佰肆拾捌万元整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14648</v>
      </c>
    </row>
    <row r="31" spans="1:2" s="1202" customFormat="1">
      <c r="A31" s="1200" t="s">
        <v>576</v>
      </c>
      <c r="B31" s="1201">
        <f ca="1">'预评函-2'!D15</f>
        <v>8342</v>
      </c>
    </row>
    <row r="32" spans="1:2" s="1202" customFormat="1">
      <c r="A32" s="1200" t="s">
        <v>543</v>
      </c>
      <c r="B32" s="1201" t="str">
        <f ca="1">'预评函-2'!D14</f>
        <v>壹亿肆仟陆佰肆拾捌万元整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13176</v>
      </c>
    </row>
    <row r="39" spans="1:2" s="1202" customFormat="1">
      <c r="A39" s="1200" t="s">
        <v>545</v>
      </c>
      <c r="B39" s="1201">
        <f ca="1">'预评函-2'!D21</f>
        <v>7504</v>
      </c>
    </row>
    <row r="40" spans="1:2" s="1202" customFormat="1">
      <c r="A40" s="1200" t="s">
        <v>546</v>
      </c>
      <c r="B40" s="1201" t="str">
        <f ca="1">'预评函-2'!D20</f>
        <v>壹亿叁仟壹佰柒拾陆万元整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17559.11</v>
      </c>
    </row>
    <row r="44" spans="1:2" s="1202" customFormat="1">
      <c r="A44" s="1200" t="s">
        <v>575</v>
      </c>
      <c r="B44" s="1201" t="str">
        <f>'预评函-3'!C2</f>
        <v>(分摊)土地面积</v>
      </c>
    </row>
    <row r="45" spans="1:2" s="1202" customFormat="1">
      <c r="A45" s="1200" t="s">
        <v>547</v>
      </c>
      <c r="B45" s="1201">
        <f>'预评函-3'!C4</f>
        <v>15637.42</v>
      </c>
    </row>
    <row r="46" spans="1:2" s="1202" customFormat="1">
      <c r="A46" s="1200" t="s">
        <v>573</v>
      </c>
      <c r="B46" s="1201" t="str">
        <f>'预评函-3'!D2</f>
        <v>出让国有建设用地使用权价值</v>
      </c>
    </row>
    <row r="47" spans="1:2" s="1202" customFormat="1">
      <c r="A47" s="1200" t="s">
        <v>548</v>
      </c>
      <c r="B47" s="1201">
        <f ca="1">'预评函-3'!D4</f>
        <v>3530</v>
      </c>
    </row>
    <row r="48" spans="1:2" s="1202" customFormat="1">
      <c r="A48" s="1200" t="s">
        <v>549</v>
      </c>
      <c r="B48" s="1201">
        <f ca="1">'预评函-3'!E4</f>
        <v>2010</v>
      </c>
    </row>
    <row r="49" spans="1:2" s="1202" customFormat="1">
      <c r="A49" s="1200" t="s">
        <v>550</v>
      </c>
      <c r="B49" s="1201" t="str">
        <f ca="1">'预评函-3'!D5</f>
        <v>叁仟伍佰叁拾万元整</v>
      </c>
    </row>
    <row r="50" spans="1:2" s="1202" customFormat="1">
      <c r="A50" s="1200" t="s">
        <v>574</v>
      </c>
      <c r="B50" s="1201" t="str">
        <f>'预评函-3'!F2</f>
        <v>在建建筑物价值</v>
      </c>
    </row>
    <row r="51" spans="1:2" s="1202" customFormat="1">
      <c r="A51" s="1200" t="s">
        <v>551</v>
      </c>
      <c r="B51" s="1201">
        <f ca="1">'预评函-3'!F4</f>
        <v>11118</v>
      </c>
    </row>
    <row r="52" spans="1:2" s="1202" customFormat="1">
      <c r="A52" s="1200" t="s">
        <v>552</v>
      </c>
      <c r="B52" s="1201">
        <f ca="1">'预评函-3'!G4</f>
        <v>6332</v>
      </c>
    </row>
    <row r="53" spans="1:2" s="1202" customFormat="1">
      <c r="A53" s="1200" t="s">
        <v>580</v>
      </c>
      <c r="B53" s="1201" t="str">
        <f ca="1">'预评函-3'!F5</f>
        <v>壹亿壹仟壹佰壹拾捌万元整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91" t="str">
        <f>项目基本情况!B1</f>
        <v>北京市昌平区生命园路20号院1号楼-1至4层101房地产抵押价值预评估</v>
      </c>
      <c r="C37" s="3491"/>
      <c r="D37" s="3491"/>
      <c r="E37" s="3491"/>
      <c r="F37" s="3491"/>
      <c r="G37" s="3491"/>
      <c r="H37" s="3491"/>
      <c r="I37" s="3491"/>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15637.42平方米，建筑面积为17559.11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15637.42平方米，规划建筑面积为17559.11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9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6"/>
      <c r="C2" s="3496"/>
      <c r="D2" s="3496"/>
      <c r="E2" s="3496"/>
    </row>
    <row r="3" spans="1:5" ht="18">
      <c r="A3" s="3497" t="str">
        <f>IF(项目基本情况!B9="房地产市场价值","估价结果一览表（市场价值不需“结果表-1”）","估价结果一览表")</f>
        <v>估价结果一览表</v>
      </c>
      <c r="B3" s="3497"/>
      <c r="C3" s="3497"/>
      <c r="D3" s="3497"/>
      <c r="E3" s="3497"/>
    </row>
    <row r="4" spans="1:5" ht="19.5" thickBot="1">
      <c r="A4" s="1492"/>
      <c r="B4" s="3495" t="s">
        <v>917</v>
      </c>
      <c r="C4" s="3495"/>
      <c r="D4" s="3495"/>
      <c r="E4" s="1492"/>
    </row>
    <row r="5" spans="1:5" ht="16.5" thickTop="1">
      <c r="A5" s="1490"/>
      <c r="B5" s="3493" t="s">
        <v>909</v>
      </c>
      <c r="C5" s="1493" t="s">
        <v>910</v>
      </c>
      <c r="D5" s="850">
        <f ca="1">结果表!H101</f>
        <v>14648</v>
      </c>
      <c r="E5" s="1490"/>
    </row>
    <row r="6" spans="1:5" ht="15.75">
      <c r="A6" s="1490"/>
      <c r="B6" s="3493"/>
      <c r="C6" s="1493" t="s">
        <v>911</v>
      </c>
      <c r="D6" s="850" t="str">
        <f ca="1">NUMBERSTRING(INT(D5*10000),2)&amp;"元整"</f>
        <v>壹亿肆仟陆佰肆拾捌万元整</v>
      </c>
      <c r="E6" s="1490"/>
    </row>
    <row r="7" spans="1:5" ht="15.75">
      <c r="A7" s="1490"/>
      <c r="B7" s="3498"/>
      <c r="C7" s="1494" t="s">
        <v>912</v>
      </c>
      <c r="D7" s="851">
        <f ca="1">结果表!H102</f>
        <v>8342</v>
      </c>
      <c r="E7" s="1490"/>
    </row>
    <row r="8" spans="1:5" ht="15.75">
      <c r="A8" s="1490"/>
      <c r="B8" s="3499" t="str">
        <f>结果表!E103</f>
        <v>2.估价师知悉的法定优先受偿款</v>
      </c>
      <c r="C8" s="1495" t="s">
        <v>913</v>
      </c>
      <c r="D8" s="851">
        <f>结果表!H103</f>
        <v>0</v>
      </c>
      <c r="E8" s="1490"/>
    </row>
    <row r="9" spans="1:5" ht="15.75">
      <c r="A9" s="1490"/>
      <c r="B9" s="3501"/>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92" t="str">
        <f>结果表!E107</f>
        <v>3.房地产抵押价值</v>
      </c>
      <c r="C13" s="1498" t="s">
        <v>910</v>
      </c>
      <c r="D13" s="853">
        <f ca="1">结果表!H107</f>
        <v>14648</v>
      </c>
      <c r="E13" s="1490"/>
    </row>
    <row r="14" spans="1:5" ht="15.75">
      <c r="A14" s="1490"/>
      <c r="B14" s="3493"/>
      <c r="C14" s="1493" t="s">
        <v>911</v>
      </c>
      <c r="D14" s="850" t="str">
        <f ca="1">NUMBERSTRING(INT(D13*10000),2)&amp;"元整"</f>
        <v>壹亿肆仟陆佰肆拾捌万元整</v>
      </c>
      <c r="E14" s="1490"/>
    </row>
    <row r="15" spans="1:5" ht="15">
      <c r="A15" s="1490"/>
      <c r="B15" s="3498"/>
      <c r="C15" s="1494" t="s">
        <v>921</v>
      </c>
      <c r="D15" s="859">
        <f ca="1">结果表!H108</f>
        <v>8342</v>
      </c>
      <c r="E15" s="1490"/>
    </row>
    <row r="16" spans="1:5" ht="15">
      <c r="A16" s="1490"/>
      <c r="B16" s="3499" t="str">
        <f>结果表!E109</f>
        <v>——</v>
      </c>
      <c r="C16" s="1498" t="s">
        <v>922</v>
      </c>
      <c r="D16" s="1499" t="str">
        <f>结果表!H109</f>
        <v>——</v>
      </c>
      <c r="E16" s="1490"/>
    </row>
    <row r="17" spans="1:5" ht="15.75">
      <c r="A17" s="1490"/>
      <c r="B17" s="3500"/>
      <c r="C17" s="1493" t="s">
        <v>923</v>
      </c>
      <c r="D17" s="850" t="e">
        <f>NUMBERSTRING(INT(D16*10000),2)&amp;"元整"</f>
        <v>#VALUE!</v>
      </c>
      <c r="E17" s="1490"/>
    </row>
    <row r="18" spans="1:5" ht="15">
      <c r="A18" s="1490"/>
      <c r="B18" s="3501"/>
      <c r="C18" s="1494" t="s">
        <v>912</v>
      </c>
      <c r="D18" s="859" t="str">
        <f>结果表!H110</f>
        <v>——</v>
      </c>
      <c r="E18" s="1490"/>
    </row>
    <row r="19" spans="1:5" ht="15.75">
      <c r="A19" s="1490"/>
      <c r="B19" s="3492" t="str">
        <f>结果表!E111</f>
        <v>4.抵押净值</v>
      </c>
      <c r="C19" s="1498" t="s">
        <v>910</v>
      </c>
      <c r="D19" s="851">
        <f ca="1">结果表!H111</f>
        <v>13176</v>
      </c>
      <c r="E19" s="1490"/>
    </row>
    <row r="20" spans="1:5" ht="15.75">
      <c r="A20" s="1490"/>
      <c r="B20" s="3493"/>
      <c r="C20" s="1493" t="s">
        <v>923</v>
      </c>
      <c r="D20" s="850" t="str">
        <f ca="1">NUMBERSTRING(INT(D19*10000),2)&amp;"元整"</f>
        <v>壹亿叁仟壹佰柒拾陆万元整</v>
      </c>
      <c r="E20" s="1490"/>
    </row>
    <row r="21" spans="1:5" ht="15.75" thickBot="1">
      <c r="A21" s="1490"/>
      <c r="B21" s="3494"/>
      <c r="C21" s="1500" t="s">
        <v>921</v>
      </c>
      <c r="D21" s="860">
        <f ca="1">结果表!H112</f>
        <v>7504</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502" t="str">
        <f>IF(项目基本情况!B9="房地产市场价值","估价结果一览表","结果表-2")</f>
        <v>结果表-2</v>
      </c>
      <c r="B1" s="3502"/>
      <c r="C1" s="3502"/>
      <c r="D1" s="3502"/>
      <c r="E1" s="3502"/>
      <c r="F1" s="3502"/>
      <c r="G1" s="3502"/>
      <c r="H1" s="3502"/>
      <c r="I1" s="3502"/>
    </row>
    <row r="2" spans="1:9" ht="30" customHeight="1" thickTop="1">
      <c r="A2" s="3503" t="s">
        <v>928</v>
      </c>
      <c r="B2" s="3503" t="s">
        <v>929</v>
      </c>
      <c r="C2" s="3503" t="s">
        <v>930</v>
      </c>
      <c r="D2" s="3503" t="str">
        <f>结果表!D116</f>
        <v>出让国有建设用地使用权价值</v>
      </c>
      <c r="E2" s="3503"/>
      <c r="F2" s="3503" t="str">
        <f>结果表!F116</f>
        <v>在建建筑物价值</v>
      </c>
      <c r="G2" s="3503"/>
      <c r="H2" s="3503" t="str">
        <f>IF(项目基本情况!B9="房地产市场价值","房地产市场价值","房地产价值")</f>
        <v>房地产价值</v>
      </c>
      <c r="I2" s="3503"/>
    </row>
    <row r="3" spans="1:9" ht="15">
      <c r="A3" s="3504"/>
      <c r="B3" s="3504"/>
      <c r="C3" s="3504"/>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17559.11</v>
      </c>
      <c r="C4" s="854">
        <f>项目基本情况!C18</f>
        <v>15637.42</v>
      </c>
      <c r="D4" s="854">
        <f ca="1">结果表!D118</f>
        <v>3530</v>
      </c>
      <c r="E4" s="854">
        <f ca="1">结果表!E118</f>
        <v>2010</v>
      </c>
      <c r="F4" s="854">
        <f ca="1">结果表!F118</f>
        <v>11118</v>
      </c>
      <c r="G4" s="854">
        <f ca="1">结果表!G118</f>
        <v>6332</v>
      </c>
      <c r="H4" s="854">
        <f ca="1">结果表!H118</f>
        <v>14648</v>
      </c>
      <c r="I4" s="854">
        <f ca="1">结果表!I118</f>
        <v>8342</v>
      </c>
    </row>
    <row r="5" spans="1:9" ht="30" customHeight="1">
      <c r="A5" s="3504" t="s">
        <v>927</v>
      </c>
      <c r="B5" s="3504"/>
      <c r="C5" s="3504"/>
      <c r="D5" s="3504" t="str">
        <f ca="1">结果表!D119</f>
        <v>叁仟伍佰叁拾万元整</v>
      </c>
      <c r="E5" s="3504"/>
      <c r="F5" s="3504" t="str">
        <f ca="1">结果表!F119</f>
        <v>壹亿壹仟壹佰壹拾捌万元整</v>
      </c>
      <c r="G5" s="3504"/>
      <c r="H5" s="3504" t="str">
        <f ca="1">结果表!H119</f>
        <v>壹亿肆仟陆佰肆拾捌万元整</v>
      </c>
      <c r="I5" s="3504"/>
    </row>
    <row r="6" spans="1:9" ht="15.75">
      <c r="A6" s="3505" t="str">
        <f>结果表!A120</f>
        <v>估价师知悉的法定优先受偿款</v>
      </c>
      <c r="B6" s="3505"/>
      <c r="C6" s="3505"/>
      <c r="D6" s="3505">
        <f>结果表!D120</f>
        <v>0</v>
      </c>
      <c r="E6" s="3505"/>
      <c r="F6" s="3505"/>
      <c r="G6" s="3505"/>
      <c r="H6" s="3505"/>
      <c r="I6" s="3505"/>
    </row>
    <row r="7" spans="1:9" ht="15">
      <c r="A7" s="3504" t="s">
        <v>927</v>
      </c>
      <c r="B7" s="3504"/>
      <c r="C7" s="3504"/>
      <c r="D7" s="3506" t="str">
        <f>结果表!D121</f>
        <v>零元整</v>
      </c>
      <c r="E7" s="3507"/>
      <c r="F7" s="3507"/>
      <c r="G7" s="3507"/>
      <c r="H7" s="3507"/>
      <c r="I7" s="3508"/>
    </row>
    <row r="8" spans="1:9" ht="15.75">
      <c r="A8" s="3505" t="str">
        <f>结果表!A122</f>
        <v>房地产抵押价值</v>
      </c>
      <c r="B8" s="3505"/>
      <c r="C8" s="3505"/>
      <c r="D8" s="3505">
        <f ca="1">结果表!D122</f>
        <v>14648</v>
      </c>
      <c r="E8" s="3505"/>
      <c r="F8" s="3505"/>
      <c r="G8" s="3505"/>
      <c r="H8" s="3505"/>
      <c r="I8" s="3505"/>
    </row>
    <row r="9" spans="1:9" ht="15">
      <c r="A9" s="3504" t="s">
        <v>927</v>
      </c>
      <c r="B9" s="3504"/>
      <c r="C9" s="3504"/>
      <c r="D9" s="3504" t="str">
        <f ca="1">结果表!D123</f>
        <v>壹亿肆仟陆佰肆拾捌万元整</v>
      </c>
      <c r="E9" s="3504"/>
      <c r="F9" s="3504"/>
      <c r="G9" s="3504"/>
      <c r="H9" s="3504"/>
      <c r="I9" s="3504"/>
    </row>
    <row r="10" spans="1:9" ht="15.75">
      <c r="A10" s="3505" t="str">
        <f>结果表!A124</f>
        <v/>
      </c>
      <c r="B10" s="3505"/>
      <c r="C10" s="3505"/>
      <c r="D10" s="3505" t="str">
        <f>结果表!D124</f>
        <v>——</v>
      </c>
      <c r="E10" s="3505"/>
      <c r="F10" s="3505"/>
      <c r="G10" s="3505"/>
      <c r="H10" s="3505"/>
      <c r="I10" s="3505"/>
    </row>
    <row r="11" spans="1:9" ht="15">
      <c r="A11" s="3504" t="s">
        <v>927</v>
      </c>
      <c r="B11" s="3504"/>
      <c r="C11" s="3504"/>
      <c r="D11" s="3504" t="e">
        <f>结果表!D125</f>
        <v>#VALUE!</v>
      </c>
      <c r="E11" s="3504"/>
      <c r="F11" s="3504"/>
      <c r="G11" s="3504"/>
      <c r="H11" s="3504"/>
      <c r="I11" s="3504"/>
    </row>
    <row r="12" spans="1:9" ht="15.75">
      <c r="A12" s="3505" t="str">
        <f>结果表!A126</f>
        <v>抵押净值</v>
      </c>
      <c r="B12" s="3505"/>
      <c r="C12" s="3505"/>
      <c r="D12" s="3505">
        <f ca="1">结果表!D126</f>
        <v>13176</v>
      </c>
      <c r="E12" s="3505"/>
      <c r="F12" s="3505"/>
      <c r="G12" s="3505"/>
      <c r="H12" s="3505"/>
      <c r="I12" s="3505"/>
    </row>
    <row r="13" spans="1:9" ht="15.75" thickBot="1">
      <c r="A13" s="3509" t="s">
        <v>927</v>
      </c>
      <c r="B13" s="3509"/>
      <c r="C13" s="3509"/>
      <c r="D13" s="3509" t="str">
        <f ca="1">结果表!D127</f>
        <v>壹亿叁仟壹佰柒拾陆万元整</v>
      </c>
      <c r="E13" s="3509"/>
      <c r="F13" s="3509"/>
      <c r="G13" s="3509"/>
      <c r="H13" s="3509"/>
      <c r="I13" s="3509"/>
    </row>
    <row r="14" spans="1:9" ht="15" thickTop="1">
      <c r="A14" s="3510" t="s">
        <v>932</v>
      </c>
      <c r="B14" s="3510"/>
      <c r="C14" s="3510"/>
      <c r="D14" s="3510"/>
      <c r="E14" s="3510"/>
      <c r="F14" s="3510"/>
      <c r="G14" s="3510"/>
      <c r="H14" s="3510"/>
      <c r="I14" s="3510"/>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11" t="s">
        <v>949</v>
      </c>
      <c r="B1" s="3511"/>
      <c r="C1" s="3511"/>
      <c r="D1" s="3511"/>
    </row>
    <row r="2" spans="1:4" ht="18">
      <c r="A2" s="3512" t="s">
        <v>933</v>
      </c>
      <c r="B2" s="3512"/>
      <c r="C2" s="3512"/>
      <c r="D2" s="3512"/>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512" t="s">
        <v>939</v>
      </c>
      <c r="B6" s="3512"/>
      <c r="C6" s="3512"/>
      <c r="D6" s="3512"/>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513" t="s">
        <v>942</v>
      </c>
      <c r="B11" s="3514"/>
      <c r="C11" s="3514"/>
      <c r="D11" s="3514"/>
    </row>
    <row r="12" spans="1:4" ht="15.75">
      <c r="A12" s="351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5"/>
      <c r="C12" s="3515"/>
      <c r="D12" s="3515"/>
    </row>
    <row r="13" spans="1:4" ht="30" customHeight="1">
      <c r="A13" s="351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5"/>
      <c r="C13" s="3515"/>
      <c r="D13" s="3515"/>
    </row>
    <row r="14" spans="1:4" ht="15.75" customHeight="1">
      <c r="A14" s="3514" t="str">
        <f>IF(项目基本情况!B8="抵押","4.本次评估估价师所知悉的法定优先受偿款情况说明如下：","——")</f>
        <v>4.本次评估估价师所知悉的法定优先受偿款情况说明如下：</v>
      </c>
      <c r="B14" s="3515"/>
      <c r="C14" s="3515"/>
      <c r="D14" s="3515"/>
    </row>
    <row r="15" spans="1:4" ht="42" customHeight="1">
      <c r="A15" s="3514"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4"/>
      <c r="C15" s="3514"/>
      <c r="D15" s="3514"/>
    </row>
    <row r="16" spans="1:4" ht="30" customHeight="1">
      <c r="A16" s="3517" t="s">
        <v>943</v>
      </c>
      <c r="B16" s="3517"/>
      <c r="C16" s="3517"/>
      <c r="D16" s="3517"/>
    </row>
    <row r="17" spans="1:4" ht="144" customHeight="1">
      <c r="A17" s="3517" t="s">
        <v>944</v>
      </c>
      <c r="B17" s="3517"/>
      <c r="C17" s="3517"/>
      <c r="D17" s="3517"/>
    </row>
    <row r="18" spans="1:4" ht="15.75" customHeight="1">
      <c r="A18" s="3514" t="str">
        <f>IF(项目基本情况!B8="抵押",结果表!K120,"——")</f>
        <v>故，本次评估不存在估价师知悉的法定优先受偿款</v>
      </c>
      <c r="B18" s="3514"/>
      <c r="C18" s="3514"/>
      <c r="D18" s="3514"/>
    </row>
    <row r="19" spans="1:4" ht="46.5" customHeight="1">
      <c r="A19" s="351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4"/>
      <c r="C19" s="3514"/>
      <c r="D19" s="3514"/>
    </row>
    <row r="20" spans="1:4" ht="57.75" customHeight="1">
      <c r="A20" s="351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514"/>
      <c r="C20" s="3514"/>
      <c r="D20" s="3514"/>
    </row>
    <row r="21" spans="1:4" ht="57.75" customHeight="1">
      <c r="A21" s="351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18"/>
      <c r="C21" s="3518"/>
      <c r="D21" s="3518"/>
    </row>
    <row r="22" spans="1:4" ht="18.75" customHeight="1">
      <c r="A22" s="3519" t="s">
        <v>945</v>
      </c>
      <c r="B22" s="3519"/>
      <c r="C22" s="3519"/>
      <c r="D22" s="3519"/>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516">
        <v>42551</v>
      </c>
      <c r="D31" s="351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25" t="s">
        <v>956</v>
      </c>
      <c r="B15" s="3520" t="s">
        <v>109</v>
      </c>
      <c r="C15" s="3521"/>
    </row>
    <row r="16" spans="1:7" ht="13.5">
      <c r="A16" s="3526"/>
      <c r="B16" s="3520" t="s">
        <v>42</v>
      </c>
      <c r="C16" s="3521"/>
    </row>
    <row r="17" spans="1:3" ht="13.5">
      <c r="A17" s="3526"/>
      <c r="B17" s="3523" t="s">
        <v>957</v>
      </c>
      <c r="C17" s="1531" t="s">
        <v>956</v>
      </c>
    </row>
    <row r="18" spans="1:3" ht="13.5">
      <c r="A18" s="3526"/>
      <c r="B18" s="3523"/>
      <c r="C18" s="1531" t="s">
        <v>958</v>
      </c>
    </row>
    <row r="19" spans="1:3" ht="13.5">
      <c r="A19" s="3526"/>
      <c r="B19" s="3523"/>
      <c r="C19" s="1531" t="s">
        <v>959</v>
      </c>
    </row>
    <row r="20" spans="1:3" ht="13.5">
      <c r="A20" s="3527"/>
      <c r="B20" s="3522" t="s">
        <v>960</v>
      </c>
      <c r="C20" s="3521"/>
    </row>
    <row r="21" spans="1:3" ht="13.5">
      <c r="A21" s="1532" t="s">
        <v>961</v>
      </c>
      <c r="B21" s="1533"/>
      <c r="C21" s="1534"/>
    </row>
    <row r="22" spans="1:3" ht="13.5">
      <c r="A22" s="3524" t="s">
        <v>962</v>
      </c>
      <c r="B22" s="3522" t="s">
        <v>963</v>
      </c>
      <c r="C22" s="3521"/>
    </row>
    <row r="23" spans="1:3" ht="13.5">
      <c r="A23" s="3524"/>
      <c r="B23" s="3522" t="s">
        <v>964</v>
      </c>
      <c r="C23" s="3521"/>
    </row>
    <row r="24" spans="1:3" ht="13.5">
      <c r="A24" s="3524"/>
      <c r="B24" s="3522" t="s">
        <v>965</v>
      </c>
      <c r="C24" s="3521"/>
    </row>
    <row r="25" spans="1:3" ht="13.5">
      <c r="A25" s="3524"/>
      <c r="B25" s="3523" t="s">
        <v>966</v>
      </c>
      <c r="C25" s="1531" t="s">
        <v>967</v>
      </c>
    </row>
    <row r="26" spans="1:3" ht="13.5">
      <c r="A26" s="3524"/>
      <c r="B26" s="3523"/>
      <c r="C26" s="1531" t="s">
        <v>968</v>
      </c>
    </row>
    <row r="27" spans="1:3" ht="13.5">
      <c r="A27" s="3524"/>
      <c r="B27" s="3523"/>
      <c r="C27" s="1531" t="s">
        <v>969</v>
      </c>
    </row>
    <row r="28" spans="1:3" ht="13.5">
      <c r="A28" s="3524"/>
      <c r="B28" s="3523"/>
      <c r="C28" s="1531" t="s">
        <v>970</v>
      </c>
    </row>
    <row r="29" spans="1:3" ht="13.5">
      <c r="A29" s="3524"/>
      <c r="B29" s="3523"/>
      <c r="C29" s="1531" t="s">
        <v>971</v>
      </c>
    </row>
    <row r="30" spans="1:3" ht="13.5">
      <c r="A30" s="3524"/>
      <c r="B30" s="3523"/>
      <c r="C30" s="1531" t="s">
        <v>972</v>
      </c>
    </row>
    <row r="31" spans="1:3" ht="13.5">
      <c r="A31" s="3524"/>
      <c r="B31" s="3523"/>
      <c r="C31" s="1531" t="s">
        <v>973</v>
      </c>
    </row>
    <row r="32" spans="1:3" ht="13.5">
      <c r="A32" s="3524"/>
      <c r="B32" s="3523"/>
      <c r="C32" s="1531" t="s">
        <v>974</v>
      </c>
    </row>
    <row r="33" spans="1:3" ht="13.5">
      <c r="A33" s="3524"/>
      <c r="B33" s="3523"/>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45401</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28" t="s">
        <v>2141</v>
      </c>
      <c r="B17" s="3528"/>
      <c r="C17" s="3528"/>
      <c r="D17" s="3528"/>
      <c r="E17" s="3528"/>
      <c r="F17" s="3528"/>
      <c r="G17" s="3528"/>
      <c r="H17" s="3528"/>
    </row>
    <row r="18" spans="1:8" ht="24" customHeight="1">
      <c r="A18" s="3529" t="s">
        <v>2142</v>
      </c>
      <c r="B18" s="3529"/>
      <c r="C18" s="3529"/>
      <c r="D18" s="2342"/>
      <c r="E18" s="3530" t="s">
        <v>2143</v>
      </c>
      <c r="F18" s="3529"/>
      <c r="G18" s="3529"/>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31"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1"/>
      <c r="B54" s="1553" t="s">
        <v>385</v>
      </c>
      <c r="C54" s="1550" t="s">
        <v>583</v>
      </c>
    </row>
    <row r="55" spans="1:4">
      <c r="A55" s="3531"/>
      <c r="B55" s="1553" t="s">
        <v>386</v>
      </c>
      <c r="C55" s="1550" t="s">
        <v>584</v>
      </c>
    </row>
    <row r="56" spans="1:4">
      <c r="A56" s="3531"/>
      <c r="B56" s="1553" t="s">
        <v>387</v>
      </c>
      <c r="C56" s="1550" t="s">
        <v>588</v>
      </c>
    </row>
    <row r="57" spans="1:4">
      <c r="A57" s="3531"/>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90"/>
    <col min="8" max="8" width="5.5" style="2990" customWidth="1"/>
    <col min="9" max="13" width="9.5" style="3032" customWidth="1"/>
    <col min="14" max="18" width="9.5" style="2990" customWidth="1"/>
    <col min="19" max="16384" width="15.25" style="2990"/>
  </cols>
  <sheetData>
    <row r="1" spans="1:18">
      <c r="A1" s="2987" t="s">
        <v>2476</v>
      </c>
      <c r="B1" s="2988"/>
      <c r="C1" s="2988"/>
      <c r="D1" s="2988"/>
      <c r="E1" s="2988"/>
      <c r="F1" s="2989"/>
      <c r="I1" s="3411" t="s">
        <v>2569</v>
      </c>
      <c r="J1" s="3200"/>
      <c r="K1" s="3200"/>
      <c r="L1" s="3200"/>
      <c r="M1" s="3200"/>
      <c r="N1" s="3412"/>
      <c r="O1" s="3412"/>
      <c r="P1" s="3412"/>
      <c r="Q1" s="3412"/>
      <c r="R1" s="3412"/>
    </row>
    <row r="2" spans="1:18">
      <c r="A2" s="2991"/>
      <c r="B2" s="2992"/>
      <c r="C2" s="2992"/>
      <c r="D2" s="2992"/>
      <c r="E2" s="2992"/>
      <c r="F2" s="2993"/>
      <c r="I2" s="3532" t="s">
        <v>2556</v>
      </c>
      <c r="J2" s="3532"/>
      <c r="K2" s="3532"/>
      <c r="L2" s="3532"/>
      <c r="M2" s="3532"/>
      <c r="N2" s="3532"/>
      <c r="O2" s="3532"/>
      <c r="P2" s="3532"/>
      <c r="Q2" s="3532"/>
      <c r="R2" s="3532"/>
    </row>
    <row r="3" spans="1:18">
      <c r="A3" s="2994" t="s">
        <v>2477</v>
      </c>
      <c r="B3" s="2995">
        <f>项目基本情况!D3</f>
        <v>45400</v>
      </c>
      <c r="C3" s="2997"/>
      <c r="D3" s="2997"/>
      <c r="E3" s="2997"/>
      <c r="F3" s="2993"/>
      <c r="I3" s="3413"/>
      <c r="J3" s="3413" t="s">
        <v>2560</v>
      </c>
      <c r="K3" s="3413" t="s">
        <v>2561</v>
      </c>
      <c r="L3" s="3413" t="s">
        <v>2562</v>
      </c>
      <c r="M3" s="3413" t="s">
        <v>2563</v>
      </c>
      <c r="N3" s="3414" t="s">
        <v>2564</v>
      </c>
      <c r="O3" s="3414" t="s">
        <v>2565</v>
      </c>
      <c r="P3" s="3414" t="s">
        <v>2566</v>
      </c>
      <c r="Q3" s="3414" t="s">
        <v>2567</v>
      </c>
      <c r="R3" s="3414" t="s">
        <v>2568</v>
      </c>
    </row>
    <row r="4" spans="1:18">
      <c r="A4" s="2994" t="s">
        <v>2478</v>
      </c>
      <c r="B4" s="2997" t="s">
        <v>2479</v>
      </c>
      <c r="C4" s="2997" t="s">
        <v>2480</v>
      </c>
      <c r="D4" s="2997" t="s">
        <v>2481</v>
      </c>
      <c r="E4" s="2997" t="s">
        <v>2482</v>
      </c>
      <c r="F4" s="2993"/>
      <c r="I4" s="3413" t="s">
        <v>2557</v>
      </c>
      <c r="J4" s="3413">
        <v>80</v>
      </c>
      <c r="K4" s="3413">
        <v>70</v>
      </c>
      <c r="L4" s="3413">
        <v>20</v>
      </c>
      <c r="M4" s="3413">
        <v>30</v>
      </c>
      <c r="N4" s="2997">
        <v>45</v>
      </c>
      <c r="O4" s="2997">
        <v>60</v>
      </c>
      <c r="P4" s="2997">
        <v>50</v>
      </c>
      <c r="Q4" s="2997">
        <v>20</v>
      </c>
      <c r="R4" s="2997">
        <v>375</v>
      </c>
    </row>
    <row r="5" spans="1:18">
      <c r="A5" s="2998">
        <v>40</v>
      </c>
      <c r="B5" s="2995">
        <v>52152</v>
      </c>
      <c r="C5" s="2997">
        <f>ROUNDDOWN(MIN((B5-B3)/365,A5),2)</f>
        <v>18.489999999999998</v>
      </c>
      <c r="D5" s="2999">
        <f>IF(ISERROR(ROUND(POWER(1+E5,A5-C5)*(POWER(1+E5,C5)-1)/(POWER(1+E5,A5)-1),3)),0,ROUND(POWER(1+E5,A5-C5)*(POWER(1+E5,C5)-1)/(POWER(1+E5,A5)-1),4))</f>
        <v>0.65149999999999997</v>
      </c>
      <c r="E5" s="3000">
        <v>0.04</v>
      </c>
      <c r="F5" s="2993"/>
      <c r="I5" s="3413" t="s">
        <v>2558</v>
      </c>
      <c r="J5" s="3413">
        <v>70</v>
      </c>
      <c r="K5" s="3413">
        <v>60</v>
      </c>
      <c r="L5" s="3413">
        <v>15</v>
      </c>
      <c r="M5" s="3413">
        <v>25</v>
      </c>
      <c r="N5" s="2997">
        <v>40</v>
      </c>
      <c r="O5" s="2997">
        <v>50</v>
      </c>
      <c r="P5" s="2997">
        <v>40</v>
      </c>
      <c r="Q5" s="2997">
        <v>15</v>
      </c>
      <c r="R5" s="2997">
        <v>315</v>
      </c>
    </row>
    <row r="6" spans="1:18">
      <c r="A6" s="2998">
        <v>50</v>
      </c>
      <c r="B6" s="2995">
        <f>项目基本情况!E13</f>
        <v>55805</v>
      </c>
      <c r="C6" s="2997">
        <f>ROUNDDOWN(MIN((B6-B3)/365,A6),2)</f>
        <v>28.5</v>
      </c>
      <c r="D6" s="2999">
        <f>IF(ISERROR(ROUND(POWER(1+E6,A6-C6)*(POWER(1+E6,C6)-1)/(POWER(1+E6,A6)-1),3)),0,ROUND(POWER(1+E6,A6-C6)*(POWER(1+E6,C6)-1)/(POWER(1+E6,A6)-1),4))</f>
        <v>0.78320000000000001</v>
      </c>
      <c r="E6" s="3000">
        <v>0.04</v>
      </c>
      <c r="F6" s="2993"/>
      <c r="I6" s="3413" t="s">
        <v>2559</v>
      </c>
      <c r="J6" s="3413">
        <v>60</v>
      </c>
      <c r="K6" s="3413">
        <v>50</v>
      </c>
      <c r="L6" s="3413">
        <v>10</v>
      </c>
      <c r="M6" s="3413">
        <v>20</v>
      </c>
      <c r="N6" s="2997">
        <v>35</v>
      </c>
      <c r="O6" s="2997">
        <v>40</v>
      </c>
      <c r="P6" s="2997">
        <v>30</v>
      </c>
      <c r="Q6" s="2997">
        <v>10</v>
      </c>
      <c r="R6" s="2997">
        <v>255</v>
      </c>
    </row>
    <row r="7" spans="1:18">
      <c r="A7" s="2998">
        <v>70</v>
      </c>
      <c r="B7" s="2995">
        <v>63110</v>
      </c>
      <c r="C7" s="2997">
        <f>ROUNDDOWN(MIN((B7-B3)/365,A7),2)</f>
        <v>48.52</v>
      </c>
      <c r="D7" s="2999">
        <f>IF(ISERROR(ROUND(POWER(1+E7,A7-C7)*(POWER(1+E7,C7)-1)/(POWER(1+E7,A7)-1),3)),0,ROUND(POWER(1+E7,A7-C7)*(POWER(1+E7,C7)-1)/(POWER(1+E7,A7)-1),4))</f>
        <v>0.9093</v>
      </c>
      <c r="E7" s="3000">
        <v>0.04</v>
      </c>
      <c r="F7" s="2993"/>
    </row>
    <row r="8" spans="1:18">
      <c r="A8" s="2991"/>
      <c r="B8" s="2992"/>
      <c r="C8" s="2992"/>
      <c r="D8" s="2992"/>
      <c r="E8" s="2992"/>
      <c r="F8" s="2993"/>
    </row>
    <row r="9" spans="1:18">
      <c r="A9" s="2994" t="s">
        <v>2483</v>
      </c>
      <c r="B9" s="2997"/>
      <c r="C9" s="2997"/>
      <c r="D9" s="2997"/>
      <c r="E9" s="2997"/>
      <c r="F9" s="3001"/>
    </row>
    <row r="10" spans="1:18">
      <c r="A10" s="2994" t="s">
        <v>2484</v>
      </c>
      <c r="B10" s="2997"/>
      <c r="C10" s="2997"/>
      <c r="D10" s="2997" t="s">
        <v>2482</v>
      </c>
      <c r="E10" s="2997"/>
      <c r="F10" s="3001" t="s">
        <v>2481</v>
      </c>
    </row>
    <row r="11" spans="1:18">
      <c r="A11" s="2994" t="s">
        <v>2485</v>
      </c>
      <c r="B11" s="3002">
        <v>50</v>
      </c>
      <c r="C11" s="2997" t="s">
        <v>2486</v>
      </c>
      <c r="D11" s="3003">
        <v>4.4999999999999998E-2</v>
      </c>
      <c r="E11" s="2997" t="s">
        <v>2487</v>
      </c>
      <c r="F11" s="3004">
        <f>ROUND(1-(1/(POWER(1+D11,B11))),4)</f>
        <v>0.88929999999999998</v>
      </c>
    </row>
    <row r="12" spans="1:18">
      <c r="A12" s="2994" t="s">
        <v>2488</v>
      </c>
      <c r="B12" s="3002">
        <v>20</v>
      </c>
      <c r="C12" s="2997" t="s">
        <v>2489</v>
      </c>
      <c r="D12" s="3003">
        <v>4.4999999999999998E-2</v>
      </c>
      <c r="E12" s="2997" t="s">
        <v>2490</v>
      </c>
      <c r="F12" s="3004">
        <f>ROUND(1-(1/(POWER(1+D12,B12))),4)</f>
        <v>0.58540000000000003</v>
      </c>
    </row>
    <row r="13" spans="1:18">
      <c r="A13" s="2994" t="s">
        <v>2491</v>
      </c>
      <c r="B13" s="2997"/>
      <c r="C13" s="2997"/>
      <c r="D13" s="2992"/>
      <c r="E13" s="2992"/>
      <c r="F13" s="2993"/>
    </row>
    <row r="14" spans="1:18">
      <c r="A14" s="2994" t="s">
        <v>2492</v>
      </c>
      <c r="B14" s="3002">
        <v>5000</v>
      </c>
      <c r="C14" s="2996"/>
      <c r="D14" s="2992"/>
      <c r="E14" s="2992"/>
      <c r="F14" s="2993"/>
    </row>
    <row r="15" spans="1:18">
      <c r="A15" s="2994" t="s">
        <v>2493</v>
      </c>
      <c r="B15" s="2997">
        <f>ROUND(B14*F12/F11,2)</f>
        <v>3291.35</v>
      </c>
      <c r="C15" s="2997">
        <f>ROUND(F12/F11,4)</f>
        <v>0.6583</v>
      </c>
      <c r="D15" s="2992"/>
      <c r="E15" s="2992"/>
      <c r="F15" s="2993"/>
    </row>
    <row r="16" spans="1:18">
      <c r="A16" s="2994" t="s">
        <v>2494</v>
      </c>
      <c r="B16" s="2997"/>
      <c r="C16" s="2997"/>
      <c r="D16" s="2992"/>
      <c r="E16" s="2992"/>
      <c r="F16" s="2993"/>
    </row>
    <row r="17" spans="1:13">
      <c r="A17" s="2994" t="s">
        <v>2493</v>
      </c>
      <c r="B17" s="3003">
        <v>4810</v>
      </c>
      <c r="C17" s="2996"/>
      <c r="D17" s="2992"/>
      <c r="E17" s="2992"/>
      <c r="F17" s="2993"/>
    </row>
    <row r="18" spans="1:13" ht="14.25" thickBot="1">
      <c r="A18" s="3005" t="s">
        <v>2492</v>
      </c>
      <c r="B18" s="3006">
        <f>ROUND(B17*F11/F12,2)</f>
        <v>7307.03</v>
      </c>
      <c r="C18" s="3006">
        <f>ROUND(F11/F12,4)</f>
        <v>1.5190999999999999</v>
      </c>
      <c r="D18" s="3007"/>
      <c r="E18" s="3007"/>
      <c r="F18" s="3008"/>
    </row>
    <row r="19" spans="1:13" ht="14.25" thickBot="1"/>
    <row r="20" spans="1:13" s="3043" customFormat="1" ht="14.25" thickTop="1">
      <c r="A20" s="3040" t="s">
        <v>2495</v>
      </c>
      <c r="B20" s="3041"/>
      <c r="C20" s="3041"/>
      <c r="D20" s="3041"/>
      <c r="E20" s="3041"/>
      <c r="F20" s="3041"/>
      <c r="G20" s="3042"/>
      <c r="I20" s="3044" t="s">
        <v>2540</v>
      </c>
      <c r="J20" s="3044" t="s">
        <v>2545</v>
      </c>
      <c r="K20" s="3044"/>
      <c r="L20" s="3044"/>
      <c r="M20" s="3044"/>
    </row>
    <row r="21" spans="1:13">
      <c r="A21" s="3009"/>
      <c r="B21" s="3010" t="s">
        <v>2496</v>
      </c>
      <c r="C21" s="3010" t="s">
        <v>2497</v>
      </c>
      <c r="D21" s="3010" t="s">
        <v>2498</v>
      </c>
      <c r="E21" s="3010" t="s">
        <v>2499</v>
      </c>
      <c r="F21" s="3010" t="s">
        <v>2500</v>
      </c>
      <c r="G21" s="3011" t="s">
        <v>2501</v>
      </c>
      <c r="I21" s="3032">
        <v>5</v>
      </c>
      <c r="J21" s="3032">
        <v>54.2</v>
      </c>
    </row>
    <row r="22" spans="1:13">
      <c r="A22" s="3009" t="s">
        <v>2502</v>
      </c>
      <c r="B22" s="3012">
        <v>70</v>
      </c>
      <c r="C22" s="3012">
        <v>30</v>
      </c>
      <c r="D22" s="3013">
        <v>0.04</v>
      </c>
      <c r="E22" s="3010">
        <f>ROUND(POWER(1+D22,B22-C22)*(POWER(1+D22,C22)-1)/(POWER(1+D22,B22)-1),3)</f>
        <v>0.73899999999999999</v>
      </c>
      <c r="F22" s="3013">
        <v>0.7</v>
      </c>
      <c r="G22" s="3011">
        <f>ROUND(100*(1-(1-E22)*F22),1)</f>
        <v>81.7</v>
      </c>
      <c r="I22" s="3032">
        <v>10</v>
      </c>
      <c r="J22" s="3032">
        <v>65.400000000000006</v>
      </c>
      <c r="K22" s="3032">
        <f>J22-J21</f>
        <v>11.200000000000003</v>
      </c>
    </row>
    <row r="23" spans="1:13">
      <c r="A23" s="3009" t="s">
        <v>2503</v>
      </c>
      <c r="B23" s="3012">
        <v>70</v>
      </c>
      <c r="C23" s="3012">
        <v>40</v>
      </c>
      <c r="D23" s="3013">
        <v>0.04</v>
      </c>
      <c r="E23" s="3010">
        <f t="shared" ref="E23:E25" si="0">ROUND(POWER(1+D23,B23-C23)*(POWER(1+D23,C23)-1)/(POWER(1+D23,B23)-1),3)</f>
        <v>0.84599999999999997</v>
      </c>
      <c r="F23" s="3013">
        <f>F22</f>
        <v>0.7</v>
      </c>
      <c r="G23" s="3011">
        <f t="shared" ref="G23:G25" si="1">ROUND(100*(1-(1-E23)*F23),1)</f>
        <v>89.2</v>
      </c>
      <c r="I23" s="3032">
        <v>15</v>
      </c>
      <c r="J23" s="3032">
        <v>74.099999999999994</v>
      </c>
      <c r="K23" s="3032">
        <f t="shared" ref="K23:K30" si="2">J23-J22</f>
        <v>8.6999999999999886</v>
      </c>
      <c r="L23" s="3032" t="s">
        <v>2543</v>
      </c>
      <c r="M23" s="3032" t="s">
        <v>2544</v>
      </c>
    </row>
    <row r="24" spans="1:13">
      <c r="A24" s="3009" t="s">
        <v>2504</v>
      </c>
      <c r="B24" s="3012">
        <v>70</v>
      </c>
      <c r="C24" s="3012">
        <v>50</v>
      </c>
      <c r="D24" s="3013">
        <v>0.04</v>
      </c>
      <c r="E24" s="3010">
        <f t="shared" si="0"/>
        <v>0.91800000000000004</v>
      </c>
      <c r="F24" s="3013">
        <f>F23</f>
        <v>0.7</v>
      </c>
      <c r="G24" s="3011">
        <f t="shared" si="1"/>
        <v>94.3</v>
      </c>
      <c r="I24" s="3032">
        <v>20</v>
      </c>
      <c r="J24" s="3032">
        <v>81</v>
      </c>
      <c r="K24" s="3032">
        <f t="shared" si="2"/>
        <v>6.9000000000000057</v>
      </c>
      <c r="L24" s="3032" t="s">
        <v>2542</v>
      </c>
      <c r="M24" s="3032">
        <v>10</v>
      </c>
    </row>
    <row r="25" spans="1:13">
      <c r="A25" s="3009" t="s">
        <v>2505</v>
      </c>
      <c r="B25" s="3012">
        <v>70</v>
      </c>
      <c r="C25" s="3012">
        <v>60</v>
      </c>
      <c r="D25" s="3013">
        <v>0.04</v>
      </c>
      <c r="E25" s="3010">
        <f t="shared" si="0"/>
        <v>0.96699999999999997</v>
      </c>
      <c r="F25" s="3013">
        <f>F24</f>
        <v>0.7</v>
      </c>
      <c r="G25" s="3011">
        <f t="shared" si="1"/>
        <v>97.7</v>
      </c>
      <c r="I25" s="3032">
        <v>25</v>
      </c>
      <c r="J25" s="3032">
        <v>86.3</v>
      </c>
      <c r="K25" s="3032">
        <f t="shared" si="2"/>
        <v>5.2999999999999972</v>
      </c>
      <c r="L25" s="3032" t="s">
        <v>2546</v>
      </c>
      <c r="M25" s="3032">
        <v>8</v>
      </c>
    </row>
    <row r="26" spans="1:13">
      <c r="A26" s="3014"/>
      <c r="B26" s="3015"/>
      <c r="C26" s="3015"/>
      <c r="D26" s="3015"/>
      <c r="E26" s="3015"/>
      <c r="F26" s="3015"/>
      <c r="G26" s="3016"/>
      <c r="I26" s="3032">
        <v>30</v>
      </c>
      <c r="J26" s="3032">
        <v>90.5</v>
      </c>
      <c r="K26" s="3032">
        <f t="shared" si="2"/>
        <v>4.2000000000000028</v>
      </c>
      <c r="L26" s="3032" t="s">
        <v>2547</v>
      </c>
      <c r="M26" s="3032">
        <v>5</v>
      </c>
    </row>
    <row r="27" spans="1:13">
      <c r="A27" s="3014" t="s">
        <v>2506</v>
      </c>
      <c r="B27" s="3015"/>
      <c r="C27" s="3015"/>
      <c r="D27" s="3015"/>
      <c r="E27" s="3015"/>
      <c r="F27" s="3015"/>
      <c r="G27" s="3016"/>
      <c r="I27" s="3032">
        <v>35</v>
      </c>
      <c r="J27" s="3032">
        <v>93.8</v>
      </c>
      <c r="K27" s="3032">
        <f t="shared" si="2"/>
        <v>3.2999999999999972</v>
      </c>
      <c r="L27" s="3032" t="s">
        <v>2548</v>
      </c>
      <c r="M27" s="3032">
        <v>3</v>
      </c>
    </row>
    <row r="28" spans="1:13">
      <c r="A28" s="3014" t="s">
        <v>2507</v>
      </c>
      <c r="B28" s="3015"/>
      <c r="C28" s="3015"/>
      <c r="D28" s="3015"/>
      <c r="E28" s="3015"/>
      <c r="F28" s="3015"/>
      <c r="G28" s="3016"/>
      <c r="I28" s="3032">
        <v>40</v>
      </c>
      <c r="J28" s="3032">
        <v>96.4</v>
      </c>
      <c r="K28" s="3032">
        <f t="shared" si="2"/>
        <v>2.6000000000000085</v>
      </c>
      <c r="L28" s="3032" t="s">
        <v>2549</v>
      </c>
      <c r="M28" s="3032">
        <v>2</v>
      </c>
    </row>
    <row r="29" spans="1:13">
      <c r="A29" s="3014" t="s">
        <v>2508</v>
      </c>
      <c r="B29" s="3015"/>
      <c r="C29" s="3015"/>
      <c r="D29" s="3015"/>
      <c r="E29" s="3015"/>
      <c r="F29" s="3015"/>
      <c r="G29" s="3016"/>
      <c r="I29" s="3032">
        <v>45</v>
      </c>
      <c r="J29" s="3032">
        <v>98.4</v>
      </c>
      <c r="K29" s="3032">
        <f t="shared" si="2"/>
        <v>2</v>
      </c>
    </row>
    <row r="30" spans="1:13">
      <c r="A30" s="3014" t="s">
        <v>2509</v>
      </c>
      <c r="B30" s="3015"/>
      <c r="C30" s="3015"/>
      <c r="D30" s="3015"/>
      <c r="E30" s="3015"/>
      <c r="F30" s="3015"/>
      <c r="G30" s="3016"/>
      <c r="I30" s="3032">
        <v>50</v>
      </c>
      <c r="J30" s="3032">
        <v>100</v>
      </c>
      <c r="K30" s="3032">
        <f t="shared" si="2"/>
        <v>1.5999999999999943</v>
      </c>
    </row>
    <row r="31" spans="1:13">
      <c r="A31" s="3014" t="s">
        <v>2510</v>
      </c>
      <c r="B31" s="3015"/>
      <c r="C31" s="3015"/>
      <c r="D31" s="3015"/>
      <c r="E31" s="3015"/>
      <c r="F31" s="3015"/>
      <c r="G31" s="3016"/>
      <c r="I31" s="3032" t="s">
        <v>2541</v>
      </c>
    </row>
    <row r="32" spans="1:13">
      <c r="A32" s="3014" t="s">
        <v>2511</v>
      </c>
      <c r="B32" s="3015"/>
      <c r="C32" s="3015"/>
      <c r="D32" s="3015"/>
      <c r="E32" s="3015"/>
      <c r="F32" s="3015"/>
      <c r="G32" s="3016"/>
    </row>
    <row r="33" spans="1:13">
      <c r="A33" s="3014" t="s">
        <v>2512</v>
      </c>
      <c r="B33" s="3015"/>
      <c r="C33" s="3015"/>
      <c r="D33" s="3015"/>
      <c r="E33" s="3015"/>
      <c r="F33" s="3015"/>
      <c r="G33" s="3016"/>
      <c r="I33" s="3032" t="s">
        <v>2540</v>
      </c>
      <c r="J33" s="3032" t="s">
        <v>2550</v>
      </c>
    </row>
    <row r="34" spans="1:13">
      <c r="A34" s="3014" t="s">
        <v>2513</v>
      </c>
      <c r="B34" s="3015"/>
      <c r="C34" s="3015"/>
      <c r="D34" s="3015"/>
      <c r="E34" s="3015"/>
      <c r="F34" s="3015"/>
      <c r="G34" s="3016"/>
      <c r="I34" s="3032">
        <v>5</v>
      </c>
      <c r="J34" s="3032">
        <v>55.1</v>
      </c>
    </row>
    <row r="35" spans="1:13">
      <c r="A35" s="3014" t="s">
        <v>2514</v>
      </c>
      <c r="B35" s="3015"/>
      <c r="C35" s="3015"/>
      <c r="D35" s="3015"/>
      <c r="E35" s="3015"/>
      <c r="F35" s="3015"/>
      <c r="G35" s="3016"/>
      <c r="I35" s="3032">
        <v>10</v>
      </c>
      <c r="J35" s="3032">
        <v>67</v>
      </c>
      <c r="K35" s="3032">
        <f>J35-J34</f>
        <v>11.899999999999999</v>
      </c>
    </row>
    <row r="36" spans="1:13">
      <c r="A36" s="3014" t="s">
        <v>2515</v>
      </c>
      <c r="B36" s="3015"/>
      <c r="C36" s="3015"/>
      <c r="D36" s="3015"/>
      <c r="E36" s="3015"/>
      <c r="F36" s="3015"/>
      <c r="G36" s="3016"/>
      <c r="I36" s="3032">
        <v>15</v>
      </c>
      <c r="J36" s="3032">
        <v>76.3</v>
      </c>
      <c r="K36" s="3032">
        <f t="shared" ref="K36:K41" si="3">J36-J35</f>
        <v>9.2999999999999972</v>
      </c>
      <c r="L36" s="3032" t="s">
        <v>2543</v>
      </c>
      <c r="M36" s="3032" t="s">
        <v>2544</v>
      </c>
    </row>
    <row r="37" spans="1:13">
      <c r="A37" s="3014" t="s">
        <v>2516</v>
      </c>
      <c r="B37" s="3015"/>
      <c r="C37" s="3015"/>
      <c r="D37" s="3015"/>
      <c r="E37" s="3015"/>
      <c r="F37" s="3015"/>
      <c r="G37" s="3016"/>
      <c r="I37" s="3032">
        <v>20</v>
      </c>
      <c r="J37" s="3032">
        <v>83.6</v>
      </c>
      <c r="K37" s="3032">
        <f t="shared" si="3"/>
        <v>7.2999999999999972</v>
      </c>
      <c r="L37" s="3032" t="s">
        <v>2542</v>
      </c>
      <c r="M37" s="3032">
        <v>10</v>
      </c>
    </row>
    <row r="38" spans="1:13">
      <c r="A38" s="3014" t="s">
        <v>2517</v>
      </c>
      <c r="B38" s="3015"/>
      <c r="C38" s="3015"/>
      <c r="D38" s="3015"/>
      <c r="E38" s="3015"/>
      <c r="F38" s="3015"/>
      <c r="G38" s="3016"/>
      <c r="I38" s="3032">
        <v>25</v>
      </c>
      <c r="J38" s="3032">
        <v>89.3</v>
      </c>
      <c r="K38" s="3032">
        <f t="shared" si="3"/>
        <v>5.7000000000000028</v>
      </c>
      <c r="L38" s="3032" t="s">
        <v>2546</v>
      </c>
      <c r="M38" s="3032">
        <v>8</v>
      </c>
    </row>
    <row r="39" spans="1:13">
      <c r="A39" s="3014"/>
      <c r="B39" s="3015"/>
      <c r="C39" s="3015"/>
      <c r="D39" s="3015"/>
      <c r="E39" s="3015"/>
      <c r="F39" s="3015"/>
      <c r="G39" s="3016"/>
      <c r="I39" s="3032">
        <v>30</v>
      </c>
      <c r="J39" s="3032">
        <v>93.8</v>
      </c>
      <c r="K39" s="3032">
        <f t="shared" si="3"/>
        <v>4.5</v>
      </c>
      <c r="L39" s="3032" t="s">
        <v>2547</v>
      </c>
      <c r="M39" s="3032">
        <v>6</v>
      </c>
    </row>
    <row r="40" spans="1:13">
      <c r="A40" s="3017" t="s">
        <v>2518</v>
      </c>
      <c r="B40" s="3018"/>
      <c r="C40" s="3018"/>
      <c r="D40" s="3018"/>
      <c r="E40" s="3018"/>
      <c r="F40" s="3018"/>
      <c r="G40" s="3019"/>
      <c r="I40" s="3032">
        <v>35</v>
      </c>
      <c r="J40" s="3032">
        <v>97.2</v>
      </c>
      <c r="K40" s="3032">
        <f t="shared" si="3"/>
        <v>3.4000000000000057</v>
      </c>
      <c r="L40" s="3032" t="s">
        <v>2548</v>
      </c>
      <c r="M40" s="3032">
        <v>3</v>
      </c>
    </row>
    <row r="41" spans="1:13">
      <c r="A41" s="3020" t="s">
        <v>2519</v>
      </c>
      <c r="B41" s="3021" t="s">
        <v>2520</v>
      </c>
      <c r="C41" s="3022" t="s">
        <v>2521</v>
      </c>
      <c r="D41" s="3022" t="s">
        <v>2522</v>
      </c>
      <c r="E41" s="3023"/>
      <c r="F41" s="3024"/>
      <c r="G41" s="3025"/>
      <c r="I41" s="3032">
        <v>40</v>
      </c>
      <c r="J41" s="3032">
        <v>100</v>
      </c>
      <c r="K41" s="3032">
        <f t="shared" si="3"/>
        <v>2.7999999999999972</v>
      </c>
    </row>
    <row r="42" spans="1:13">
      <c r="A42" s="3020" t="s">
        <v>2523</v>
      </c>
      <c r="B42" s="3021" t="s">
        <v>2524</v>
      </c>
      <c r="C42" s="3022" t="s">
        <v>2525</v>
      </c>
      <c r="D42" s="3026" t="s">
        <v>2526</v>
      </c>
      <c r="E42" s="3018" t="s">
        <v>2527</v>
      </c>
      <c r="F42" s="3018"/>
      <c r="G42" s="3019"/>
    </row>
    <row r="43" spans="1:13">
      <c r="A43" s="3020" t="s">
        <v>2528</v>
      </c>
      <c r="B43" s="3021" t="s">
        <v>2529</v>
      </c>
      <c r="C43" s="3022" t="s">
        <v>2530</v>
      </c>
      <c r="D43" s="3022" t="s">
        <v>2531</v>
      </c>
      <c r="E43" s="3023" t="s">
        <v>2532</v>
      </c>
      <c r="F43" s="3024"/>
      <c r="G43" s="3025"/>
      <c r="I43" s="3032" t="s">
        <v>2540</v>
      </c>
      <c r="J43" s="3032" t="s">
        <v>2551</v>
      </c>
    </row>
    <row r="44" spans="1:13">
      <c r="A44" s="3020" t="s">
        <v>2533</v>
      </c>
      <c r="B44" s="3021" t="s">
        <v>2534</v>
      </c>
      <c r="C44" s="3022" t="s">
        <v>2535</v>
      </c>
      <c r="D44" s="3026">
        <v>0.5</v>
      </c>
      <c r="E44" s="3023" t="s">
        <v>2536</v>
      </c>
      <c r="F44" s="3024"/>
      <c r="G44" s="3025"/>
      <c r="I44" s="3032">
        <v>30</v>
      </c>
      <c r="J44" s="3032">
        <v>81.7</v>
      </c>
    </row>
    <row r="45" spans="1:13" ht="14.25" thickBot="1">
      <c r="A45" s="3027" t="s">
        <v>2537</v>
      </c>
      <c r="B45" s="3028" t="s">
        <v>2524</v>
      </c>
      <c r="C45" s="3029" t="s">
        <v>2524</v>
      </c>
      <c r="D45" s="3029" t="s">
        <v>2538</v>
      </c>
      <c r="E45" s="3030" t="s">
        <v>2539</v>
      </c>
      <c r="F45" s="3030"/>
      <c r="G45" s="3031"/>
      <c r="I45" s="3032">
        <v>40</v>
      </c>
      <c r="J45" s="3032">
        <v>89.2</v>
      </c>
      <c r="K45" s="3032">
        <f>J45-J44</f>
        <v>7.5</v>
      </c>
    </row>
    <row r="46" spans="1:13">
      <c r="I46" s="3032">
        <v>50</v>
      </c>
      <c r="J46" s="3032">
        <v>94.3</v>
      </c>
      <c r="K46" s="3032">
        <f t="shared" ref="K46:K47" si="4">J46-J45</f>
        <v>5.0999999999999943</v>
      </c>
    </row>
    <row r="47" spans="1:13">
      <c r="I47" s="3032">
        <v>60</v>
      </c>
      <c r="J47" s="3032">
        <v>97.7</v>
      </c>
      <c r="K47" s="3032">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33"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34"/>
      <c r="D1" s="3534"/>
      <c r="E1" s="3534"/>
      <c r="F1" s="3534"/>
      <c r="G1" s="3534"/>
      <c r="H1" s="3534"/>
      <c r="I1" s="3535"/>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3"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4"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5"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36"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37"/>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2640" t="s">
        <v>3666</v>
      </c>
      <c r="G10" s="2641"/>
      <c r="H10" s="2642"/>
      <c r="I10" s="2643"/>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5"/>
      <c r="K11" s="3034"/>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3" t="s">
        <v>2552</v>
      </c>
      <c r="J12" s="3036"/>
      <c r="K12" s="2587"/>
      <c r="L12" s="2587"/>
      <c r="M12" s="2435"/>
      <c r="N12" s="2446"/>
      <c r="O12" s="2435"/>
      <c r="P12" s="2435"/>
      <c r="Q12" s="2435"/>
      <c r="AD12" s="1744"/>
    </row>
    <row r="13" spans="1:30">
      <c r="A13" s="3397" t="s">
        <v>3307</v>
      </c>
      <c r="B13" s="2403" t="s">
        <v>2171</v>
      </c>
      <c r="C13" s="856"/>
      <c r="D13" s="856"/>
      <c r="E13" s="856">
        <v>55805</v>
      </c>
      <c r="F13" s="856"/>
      <c r="G13" s="856"/>
      <c r="H13" s="856"/>
      <c r="I13" s="856">
        <f>E13</f>
        <v>55805</v>
      </c>
      <c r="J13" s="3036"/>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7"/>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8"/>
      <c r="K15" s="2447"/>
      <c r="L15" s="2447"/>
      <c r="M15" s="2502"/>
      <c r="N15" s="2447"/>
      <c r="O15" s="2502"/>
      <c r="P15" s="2435"/>
      <c r="Q15" s="2435"/>
      <c r="AD15" s="1744"/>
    </row>
    <row r="16" spans="1:30">
      <c r="A16" s="2396" t="s">
        <v>2174</v>
      </c>
      <c r="B16" s="3543"/>
      <c r="C16" s="3544"/>
      <c r="D16" s="3545"/>
      <c r="E16" s="2409" t="s">
        <v>2175</v>
      </c>
      <c r="F16" s="3546"/>
      <c r="G16" s="3547"/>
      <c r="H16" s="3547"/>
      <c r="I16" s="3548"/>
      <c r="J16" s="2435"/>
      <c r="K16" s="2591"/>
      <c r="L16" s="2447"/>
      <c r="M16" s="2447"/>
      <c r="N16" s="2502"/>
      <c r="O16" s="2447"/>
      <c r="P16" s="2502"/>
      <c r="Q16" s="2435"/>
      <c r="R16" s="2435"/>
    </row>
    <row r="17" spans="1:28">
      <c r="A17" s="313" t="s">
        <v>2176</v>
      </c>
      <c r="B17" s="302" t="s">
        <v>2177</v>
      </c>
      <c r="C17" s="8">
        <f>'数据-汇总表'!E3</f>
        <v>17559.11</v>
      </c>
      <c r="D17" s="2321" t="s">
        <v>2178</v>
      </c>
      <c r="E17" s="3549" t="s">
        <v>2179</v>
      </c>
      <c r="F17" s="3550"/>
      <c r="G17" s="3550"/>
      <c r="H17" s="3550"/>
      <c r="I17" s="3551"/>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15637.42</v>
      </c>
      <c r="D18" s="1092" t="s">
        <v>2181</v>
      </c>
      <c r="E18" s="3552" t="s">
        <v>2182</v>
      </c>
      <c r="F18" s="3553"/>
      <c r="G18" s="3553"/>
      <c r="H18" s="3553"/>
      <c r="I18" s="3554"/>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39" t="s">
        <v>2186</v>
      </c>
      <c r="C20" s="3540"/>
      <c r="D20" s="3541" t="s">
        <v>2187</v>
      </c>
      <c r="E20" s="3542"/>
      <c r="F20" s="2621" t="s">
        <v>1056</v>
      </c>
      <c r="G20" s="2638"/>
      <c r="H20" s="2638"/>
      <c r="I20" s="2638"/>
      <c r="J20" s="2435"/>
      <c r="K20" s="3538"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3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3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56"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56"/>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56"/>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57"/>
      <c r="B30" s="302" t="s">
        <v>2195</v>
      </c>
      <c r="C30" s="3558"/>
      <c r="D30" s="3559"/>
      <c r="E30" s="2638"/>
      <c r="F30" s="2638"/>
      <c r="G30" s="2638"/>
      <c r="H30" s="2638"/>
      <c r="I30" s="2638"/>
      <c r="J30" s="2435"/>
      <c r="K30" s="2590"/>
      <c r="L30" s="2587"/>
      <c r="M30" s="2587"/>
      <c r="N30" s="2435"/>
      <c r="O30" s="2446"/>
      <c r="P30" s="2435"/>
      <c r="Q30" s="2435"/>
      <c r="R30" s="2435"/>
      <c r="S30" s="2435"/>
      <c r="T30" s="2435"/>
      <c r="U30" s="2435"/>
      <c r="V30" s="2435"/>
    </row>
    <row r="31" spans="1:28">
      <c r="A31" s="3560"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61"/>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61"/>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55" t="s">
        <v>2205</v>
      </c>
      <c r="T34" s="2424" t="str">
        <f>NUMBERSTRING(7-K34,1)&amp;"通"</f>
        <v>七通</v>
      </c>
      <c r="U34" s="2435"/>
      <c r="V34" s="2435"/>
    </row>
    <row r="35" spans="1:30">
      <c r="A35" s="2425"/>
      <c r="B35" s="3562" t="s">
        <v>2206</v>
      </c>
      <c r="C35" s="3562"/>
      <c r="D35" s="3562"/>
      <c r="E35" s="3562"/>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55"/>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9"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15" sqref="K15"/>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48398.840000000004</v>
      </c>
      <c r="J5" s="13">
        <f t="shared" si="0"/>
        <v>0</v>
      </c>
      <c r="K5" s="13">
        <f t="shared" si="0"/>
        <v>21645.89</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17559.11</v>
      </c>
      <c r="BA5" s="15">
        <f t="shared" si="1"/>
        <v>17559.11</v>
      </c>
      <c r="BB5" s="15">
        <f t="shared" si="1"/>
        <v>76.040000000000006</v>
      </c>
      <c r="BC5" s="15">
        <f t="shared" si="1"/>
        <v>17483.07</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43102.01</v>
      </c>
      <c r="J6" s="13">
        <f t="shared" si="2"/>
        <v>0</v>
      </c>
      <c r="K6" s="13">
        <f t="shared" si="2"/>
        <v>19276.93</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15637.42</v>
      </c>
      <c r="AZ6" s="13" t="s">
        <v>2</v>
      </c>
      <c r="BA6" s="13">
        <f>ROUND($AY$6*BA5/$AZ$5,2)</f>
        <v>15637.42</v>
      </c>
      <c r="BB6" s="13">
        <f>ROUND($AY$6*BB5/$AZ$5,2)</f>
        <v>67.72</v>
      </c>
      <c r="BC6" s="13">
        <f t="shared" ref="BC6:BH6" si="4">ROUND($AY$6*BC5/$AZ$5,2)</f>
        <v>15569.7</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3425</v>
      </c>
      <c r="J9" s="809"/>
      <c r="K9" s="1602" t="s">
        <v>3428</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3427</v>
      </c>
      <c r="J10" s="809"/>
      <c r="K10" s="1608" t="s">
        <v>3427</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6" t="s">
        <v>3379</v>
      </c>
      <c r="D13" s="1624" t="s">
        <v>3369</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6" t="s">
        <v>3380</v>
      </c>
      <c r="D14" s="1624" t="s">
        <v>3369</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6" t="s">
        <v>3381</v>
      </c>
      <c r="D15" s="1624" t="s">
        <v>3369</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6" t="s">
        <v>3382</v>
      </c>
      <c r="D16" s="1624" t="s">
        <v>3369</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6" t="s">
        <v>3383</v>
      </c>
      <c r="D17" s="1624" t="s">
        <v>3369</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7" t="s">
        <v>3384</v>
      </c>
      <c r="D18" s="1624" t="s">
        <v>3369</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7" t="s">
        <v>3385</v>
      </c>
      <c r="D19" s="1624" t="s">
        <v>3369</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7" t="s">
        <v>3386</v>
      </c>
      <c r="D20" s="1624" t="s">
        <v>3363</v>
      </c>
      <c r="E20" s="32">
        <f t="shared" si="7"/>
        <v>15637.42</v>
      </c>
      <c r="F20" s="33"/>
      <c r="G20" s="34">
        <f t="shared" si="8"/>
        <v>17559.11</v>
      </c>
      <c r="H20" s="35">
        <f t="shared" si="9"/>
        <v>17559.11</v>
      </c>
      <c r="I20" s="36">
        <v>76.040000000000006</v>
      </c>
      <c r="J20" s="36"/>
      <c r="K20" s="36">
        <f>指标!G9-I20</f>
        <v>17483.07</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15637.42</v>
      </c>
      <c r="AZ20" s="32">
        <f t="shared" si="15"/>
        <v>17559.11</v>
      </c>
      <c r="BA20" s="32">
        <f t="shared" si="16"/>
        <v>17559.11</v>
      </c>
      <c r="BB20" s="32">
        <f t="shared" si="17"/>
        <v>76.040000000000006</v>
      </c>
      <c r="BC20" s="32">
        <f t="shared" si="18"/>
        <v>17483.07</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54"/>
  <sheetViews>
    <sheetView topLeftCell="A40" workbookViewId="0">
      <selection activeCell="P52" sqref="P52"/>
    </sheetView>
  </sheetViews>
  <sheetFormatPr defaultRowHeight="13.5"/>
  <cols>
    <col min="8" max="8" width="14.625" customWidth="1"/>
  </cols>
  <sheetData>
    <row r="1" spans="1:13" ht="26.25" thickBot="1">
      <c r="A1" s="3428" t="s">
        <v>3387</v>
      </c>
      <c r="B1" s="3429" t="s">
        <v>3388</v>
      </c>
      <c r="C1" s="3429" t="s">
        <v>3389</v>
      </c>
      <c r="D1" s="3430" t="s">
        <v>3390</v>
      </c>
      <c r="E1" s="3430" t="s">
        <v>3391</v>
      </c>
      <c r="F1" s="3430" t="s">
        <v>3392</v>
      </c>
      <c r="G1" s="3430" t="s">
        <v>3393</v>
      </c>
      <c r="H1" s="3430" t="s">
        <v>3394</v>
      </c>
      <c r="I1" s="3430" t="s">
        <v>3395</v>
      </c>
    </row>
    <row r="2" spans="1:13" ht="51.75" thickBot="1">
      <c r="A2" s="3431">
        <v>1</v>
      </c>
      <c r="B2" s="3432" t="s">
        <v>3396</v>
      </c>
      <c r="C2" s="3432" t="s">
        <v>3397</v>
      </c>
      <c r="D2" s="3433" t="s">
        <v>3398</v>
      </c>
      <c r="E2" s="3433" t="s">
        <v>3399</v>
      </c>
      <c r="F2" s="3433">
        <v>5</v>
      </c>
      <c r="G2" s="3433">
        <v>7792.51</v>
      </c>
      <c r="H2" s="3434" t="s">
        <v>3400</v>
      </c>
      <c r="I2" s="3434" t="s">
        <v>21</v>
      </c>
    </row>
    <row r="3" spans="1:13" ht="51.75" thickBot="1">
      <c r="A3" s="3431">
        <v>2</v>
      </c>
      <c r="B3" s="3432" t="s">
        <v>3401</v>
      </c>
      <c r="C3" s="3432" t="s">
        <v>3397</v>
      </c>
      <c r="D3" s="3433" t="s">
        <v>3402</v>
      </c>
      <c r="E3" s="3433" t="s">
        <v>3403</v>
      </c>
      <c r="F3" s="3433">
        <v>4</v>
      </c>
      <c r="G3" s="3433">
        <v>7637.27</v>
      </c>
      <c r="H3" s="3434" t="s">
        <v>3400</v>
      </c>
      <c r="I3" s="3434" t="s">
        <v>21</v>
      </c>
    </row>
    <row r="4" spans="1:13" ht="51.75" thickBot="1">
      <c r="A4" s="3431">
        <v>3</v>
      </c>
      <c r="B4" s="3432" t="s">
        <v>3404</v>
      </c>
      <c r="C4" s="3432" t="s">
        <v>3397</v>
      </c>
      <c r="D4" s="3433" t="s">
        <v>3405</v>
      </c>
      <c r="E4" s="3433" t="s">
        <v>3406</v>
      </c>
      <c r="F4" s="3433">
        <v>7</v>
      </c>
      <c r="G4" s="3433">
        <v>10545.05</v>
      </c>
      <c r="H4" s="3434" t="s">
        <v>3407</v>
      </c>
      <c r="I4" s="3434" t="s">
        <v>3408</v>
      </c>
      <c r="J4" s="3437" t="s">
        <v>3424</v>
      </c>
      <c r="K4">
        <v>4162.82</v>
      </c>
      <c r="L4" s="3436" t="s">
        <v>3426</v>
      </c>
      <c r="M4">
        <f>G4-K4</f>
        <v>6382.23</v>
      </c>
    </row>
    <row r="5" spans="1:13" ht="51.75" thickBot="1">
      <c r="A5" s="3431">
        <v>4</v>
      </c>
      <c r="B5" s="3432" t="s">
        <v>3409</v>
      </c>
      <c r="C5" s="3432" t="s">
        <v>3397</v>
      </c>
      <c r="D5" s="3433" t="s">
        <v>3410</v>
      </c>
      <c r="E5" s="3433" t="s">
        <v>3403</v>
      </c>
      <c r="F5" s="3433">
        <v>4</v>
      </c>
      <c r="G5" s="3433">
        <v>6921.25</v>
      </c>
      <c r="H5" s="3434" t="s">
        <v>3400</v>
      </c>
      <c r="I5" s="3434" t="s">
        <v>21</v>
      </c>
    </row>
    <row r="6" spans="1:13" ht="51.75" thickBot="1">
      <c r="A6" s="3431">
        <v>5</v>
      </c>
      <c r="B6" s="3432" t="s">
        <v>3411</v>
      </c>
      <c r="C6" s="3432" t="s">
        <v>3397</v>
      </c>
      <c r="D6" s="3433" t="s">
        <v>3412</v>
      </c>
      <c r="E6" s="3433" t="s">
        <v>3399</v>
      </c>
      <c r="F6" s="3433">
        <v>5</v>
      </c>
      <c r="G6" s="3433">
        <v>6982.07</v>
      </c>
      <c r="H6" s="3434" t="s">
        <v>3400</v>
      </c>
      <c r="I6" s="3434" t="s">
        <v>21</v>
      </c>
    </row>
    <row r="7" spans="1:13" ht="51.75" thickBot="1">
      <c r="A7" s="3431">
        <v>6</v>
      </c>
      <c r="B7" s="3432" t="s">
        <v>3413</v>
      </c>
      <c r="C7" s="3432" t="s">
        <v>3397</v>
      </c>
      <c r="D7" s="3433" t="s">
        <v>3414</v>
      </c>
      <c r="E7" s="3433" t="s">
        <v>3415</v>
      </c>
      <c r="F7" s="3433">
        <v>6</v>
      </c>
      <c r="G7" s="3433">
        <v>5673.53</v>
      </c>
      <c r="H7" s="3434" t="s">
        <v>3416</v>
      </c>
      <c r="I7" s="3434" t="s">
        <v>21</v>
      </c>
    </row>
    <row r="8" spans="1:13" ht="51.75" thickBot="1">
      <c r="A8" s="3431">
        <v>7</v>
      </c>
      <c r="B8" s="3432" t="s">
        <v>3417</v>
      </c>
      <c r="C8" s="3432" t="s">
        <v>3397</v>
      </c>
      <c r="D8" s="3433" t="s">
        <v>3418</v>
      </c>
      <c r="E8" s="3433" t="s">
        <v>3399</v>
      </c>
      <c r="F8" s="3433">
        <v>5</v>
      </c>
      <c r="G8" s="3433">
        <v>6933.94</v>
      </c>
      <c r="H8" s="3434" t="s">
        <v>3400</v>
      </c>
      <c r="I8" s="3434" t="s">
        <v>21</v>
      </c>
    </row>
    <row r="9" spans="1:13" ht="51.75" thickBot="1">
      <c r="A9" s="3431">
        <v>8</v>
      </c>
      <c r="B9" s="3432" t="s">
        <v>3419</v>
      </c>
      <c r="C9" s="3432" t="s">
        <v>3397</v>
      </c>
      <c r="D9" s="3433" t="s">
        <v>3420</v>
      </c>
      <c r="E9" s="3433" t="s">
        <v>3421</v>
      </c>
      <c r="F9" s="3433">
        <v>2</v>
      </c>
      <c r="G9" s="3433">
        <v>17559.11</v>
      </c>
      <c r="H9" s="3434" t="s">
        <v>3422</v>
      </c>
      <c r="I9" s="3434" t="s">
        <v>21</v>
      </c>
    </row>
    <row r="10" spans="1:13" ht="14.25" thickBot="1">
      <c r="A10" s="3435" t="s">
        <v>3423</v>
      </c>
      <c r="B10" s="3432" t="s">
        <v>43</v>
      </c>
      <c r="C10" s="3432" t="s">
        <v>43</v>
      </c>
      <c r="D10" s="3434" t="s">
        <v>43</v>
      </c>
      <c r="E10" s="3434" t="s">
        <v>43</v>
      </c>
      <c r="F10" s="3434" t="s">
        <v>43</v>
      </c>
      <c r="G10" s="3433">
        <v>70044.73</v>
      </c>
      <c r="H10" s="3434" t="s">
        <v>43</v>
      </c>
      <c r="I10" s="3433" t="s">
        <v>43</v>
      </c>
    </row>
    <row r="18" spans="9:11">
      <c r="I18" s="3436" t="s">
        <v>3653</v>
      </c>
      <c r="J18" s="3436" t="s">
        <v>3654</v>
      </c>
      <c r="K18" s="3436" t="s">
        <v>3655</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6">
      <c r="I33">
        <v>27204</v>
      </c>
      <c r="J33">
        <v>15434</v>
      </c>
      <c r="K33">
        <v>14617.88</v>
      </c>
    </row>
    <row r="36" spans="9:16">
      <c r="I36">
        <v>25858</v>
      </c>
      <c r="J36">
        <v>17930</v>
      </c>
      <c r="K36">
        <v>16981.900000000001</v>
      </c>
    </row>
    <row r="39" spans="9:16">
      <c r="I39">
        <v>17912</v>
      </c>
      <c r="J39">
        <v>31452</v>
      </c>
      <c r="K39">
        <v>29788.880000000001</v>
      </c>
    </row>
    <row r="43" spans="9:16" ht="14.25" thickBot="1"/>
    <row r="44" spans="9:16" ht="26.25" thickTop="1">
      <c r="L44" s="3476" t="s">
        <v>3387</v>
      </c>
      <c r="M44" s="3477" t="s">
        <v>3667</v>
      </c>
      <c r="N44" s="3477" t="s">
        <v>3668</v>
      </c>
      <c r="O44" s="3478" t="s">
        <v>3669</v>
      </c>
      <c r="P44" s="3478" t="s">
        <v>660</v>
      </c>
    </row>
    <row r="45" spans="9:16" ht="51">
      <c r="L45" s="3479">
        <v>1</v>
      </c>
      <c r="M45" s="3480" t="s">
        <v>3670</v>
      </c>
      <c r="N45" s="3481">
        <v>7792.51</v>
      </c>
      <c r="O45" s="3482">
        <v>21055</v>
      </c>
      <c r="P45" s="3482">
        <v>16407</v>
      </c>
    </row>
    <row r="46" spans="9:16" ht="51">
      <c r="L46" s="3479">
        <v>2</v>
      </c>
      <c r="M46" s="3480" t="s">
        <v>3671</v>
      </c>
      <c r="N46" s="3481">
        <v>7637.27</v>
      </c>
      <c r="O46" s="3482">
        <v>21019</v>
      </c>
      <c r="P46" s="3482">
        <v>16053</v>
      </c>
    </row>
    <row r="47" spans="9:16" ht="51">
      <c r="L47" s="3479">
        <v>3</v>
      </c>
      <c r="M47" s="3480" t="s">
        <v>3672</v>
      </c>
      <c r="N47" s="3481">
        <v>10545.05</v>
      </c>
      <c r="O47" s="3482">
        <v>11185</v>
      </c>
      <c r="P47" s="3482">
        <v>11795</v>
      </c>
    </row>
    <row r="48" spans="9:16" ht="51">
      <c r="L48" s="3479">
        <v>4</v>
      </c>
      <c r="M48" s="3480" t="s">
        <v>3673</v>
      </c>
      <c r="N48" s="3481">
        <v>6921.25</v>
      </c>
      <c r="O48" s="3482">
        <v>21021</v>
      </c>
      <c r="P48" s="3482">
        <v>14549</v>
      </c>
    </row>
    <row r="49" spans="12:16" ht="51">
      <c r="L49" s="3479">
        <v>5</v>
      </c>
      <c r="M49" s="3480" t="s">
        <v>3674</v>
      </c>
      <c r="N49" s="3481">
        <v>6982.07</v>
      </c>
      <c r="O49" s="3482">
        <v>21073</v>
      </c>
      <c r="P49" s="3482">
        <v>14713</v>
      </c>
    </row>
    <row r="50" spans="12:16" ht="51">
      <c r="L50" s="3479">
        <v>6</v>
      </c>
      <c r="M50" s="3480" t="s">
        <v>3675</v>
      </c>
      <c r="N50" s="3481">
        <v>5673.53</v>
      </c>
      <c r="O50" s="3482">
        <v>21135</v>
      </c>
      <c r="P50" s="3482">
        <v>11991</v>
      </c>
    </row>
    <row r="51" spans="12:16" ht="51">
      <c r="L51" s="3479">
        <v>7</v>
      </c>
      <c r="M51" s="3480" t="s">
        <v>3676</v>
      </c>
      <c r="N51" s="3481">
        <v>6933.94</v>
      </c>
      <c r="O51" s="3482">
        <v>20975</v>
      </c>
      <c r="P51" s="3482">
        <v>14544</v>
      </c>
    </row>
    <row r="52" spans="12:16" ht="51">
      <c r="L52" s="3486">
        <v>8</v>
      </c>
      <c r="M52" s="3487" t="s">
        <v>3677</v>
      </c>
      <c r="N52" s="3488">
        <v>17559.11</v>
      </c>
      <c r="O52" s="3489">
        <v>6053</v>
      </c>
      <c r="P52" s="3489">
        <v>10629</v>
      </c>
    </row>
    <row r="53" spans="12:16" ht="14.25" thickBot="1">
      <c r="L53" s="3483" t="s">
        <v>3423</v>
      </c>
      <c r="M53" s="3484" t="s">
        <v>43</v>
      </c>
      <c r="N53" s="3484">
        <v>70044.73</v>
      </c>
      <c r="O53" s="3485">
        <v>15801</v>
      </c>
      <c r="P53" s="3485">
        <v>110681</v>
      </c>
    </row>
    <row r="54" spans="12:16" ht="14.25" thickTop="1"/>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H13" sqref="H13"/>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72" t="s">
        <v>1129</v>
      </c>
      <c r="B2" s="3572"/>
      <c r="C2" s="3572"/>
      <c r="D2" s="796" t="s">
        <v>1105</v>
      </c>
      <c r="E2" s="1638" t="s">
        <v>1106</v>
      </c>
      <c r="F2" s="2633"/>
      <c r="G2" s="2624"/>
      <c r="H2" s="2625"/>
      <c r="I2" s="2324" t="s">
        <v>1130</v>
      </c>
      <c r="J2" s="2633"/>
      <c r="K2" s="2633"/>
      <c r="L2" s="2633"/>
      <c r="M2" s="2633"/>
      <c r="N2" s="2635"/>
      <c r="O2" s="2633"/>
      <c r="P2" s="2633"/>
    </row>
    <row r="3" spans="1:16" ht="15.75" thickBot="1">
      <c r="A3" s="3573" t="s">
        <v>1103</v>
      </c>
      <c r="B3" s="3573"/>
      <c r="C3" s="3573"/>
      <c r="D3" s="43">
        <f>'数据-基础表'!AY6</f>
        <v>15637.42</v>
      </c>
      <c r="E3" s="43">
        <f>'数据-基础表'!AZ5</f>
        <v>17559.11</v>
      </c>
      <c r="F3" s="2633"/>
      <c r="G3" s="1145"/>
      <c r="H3" s="1026" t="s">
        <v>1104</v>
      </c>
      <c r="I3" s="855">
        <f>ROUND('数据-基础表'!B3/'数据-基础表'!A3,2)</f>
        <v>1.1200000000000001</v>
      </c>
      <c r="J3" s="2633"/>
      <c r="K3" s="2633"/>
      <c r="L3" s="2633"/>
      <c r="M3" s="2633"/>
      <c r="N3" s="2635"/>
      <c r="O3" s="2633"/>
      <c r="P3" s="2633"/>
    </row>
    <row r="4" spans="1:16" ht="15">
      <c r="A4" s="3574"/>
      <c r="B4" s="3575"/>
      <c r="C4" s="3576"/>
      <c r="D4" s="1640" t="s">
        <v>1105</v>
      </c>
      <c r="E4" s="1641" t="s">
        <v>1106</v>
      </c>
      <c r="F4" s="2633"/>
      <c r="G4" s="2626" t="s">
        <v>1131</v>
      </c>
      <c r="H4" s="1026" t="s">
        <v>1111</v>
      </c>
      <c r="I4" s="855">
        <f>ROUND(SUMIF('数据-基础表'!I9:AS9,"地上",'数据-基础表'!I5:AS5)/'数据-基础表'!A3,2)</f>
        <v>0.78</v>
      </c>
      <c r="J4" s="2633"/>
      <c r="K4" s="2633"/>
      <c r="L4" s="2633"/>
      <c r="M4" s="2633"/>
      <c r="N4" s="2635"/>
      <c r="O4" s="2633"/>
      <c r="P4" s="2633"/>
    </row>
    <row r="5" spans="1:16">
      <c r="A5" s="44" t="s">
        <v>1107</v>
      </c>
      <c r="B5" s="3577" t="s">
        <v>1108</v>
      </c>
      <c r="C5" s="3577"/>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77" t="s">
        <v>1109</v>
      </c>
      <c r="C6" s="3577"/>
      <c r="D6" s="45">
        <f>ROUND($D$3*E6/$E$3,2)</f>
        <v>15637.42</v>
      </c>
      <c r="E6" s="46">
        <f>E3-E5</f>
        <v>17559.11</v>
      </c>
      <c r="F6" s="2633"/>
      <c r="G6" s="2627" t="s">
        <v>1110</v>
      </c>
      <c r="H6" s="1146" t="s">
        <v>1111</v>
      </c>
      <c r="I6" s="2628">
        <f>ROUND(F31/D31,2)</f>
        <v>0</v>
      </c>
      <c r="J6" s="2633"/>
      <c r="K6" s="2633"/>
      <c r="L6" s="2633"/>
      <c r="M6" s="2633"/>
      <c r="N6" s="2633"/>
      <c r="O6" s="2633"/>
      <c r="P6" s="2633"/>
    </row>
    <row r="7" spans="1:16" ht="15.75" thickBot="1">
      <c r="A7" s="3569"/>
      <c r="B7" s="3570"/>
      <c r="C7" s="3571"/>
      <c r="D7" s="1640" t="s">
        <v>1105</v>
      </c>
      <c r="E7" s="1644" t="s">
        <v>1112</v>
      </c>
      <c r="F7" s="2633"/>
      <c r="G7" s="2629" t="s">
        <v>1113</v>
      </c>
      <c r="H7" s="2630"/>
      <c r="I7" s="2631">
        <v>1</v>
      </c>
      <c r="J7" s="2633"/>
      <c r="K7" s="2633"/>
      <c r="L7" s="2633"/>
      <c r="M7" s="2633"/>
      <c r="N7" s="2633"/>
      <c r="O7" s="2633"/>
      <c r="P7" s="2633"/>
    </row>
    <row r="8" spans="1:16">
      <c r="A8" s="44" t="s">
        <v>1114</v>
      </c>
      <c r="B8" s="47" t="s">
        <v>1115</v>
      </c>
      <c r="C8" s="45" t="s">
        <v>1116</v>
      </c>
      <c r="D8" s="45">
        <f t="shared" ref="D8:D15" si="0">ROUND($D$3*E8/$E$3,2)</f>
        <v>67.72</v>
      </c>
      <c r="E8" s="48">
        <f>SUMIF('数据-基础表'!BB10:BK10,"地上",'数据-基础表'!BB5:BK5)</f>
        <v>76.040000000000006</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67.72</v>
      </c>
      <c r="E16" s="50">
        <f>SUM(E8:E15)</f>
        <v>76.040000000000006</v>
      </c>
      <c r="F16" s="2633"/>
      <c r="G16" s="2634"/>
      <c r="H16" s="1647" t="s">
        <v>1133</v>
      </c>
      <c r="I16" s="1648"/>
      <c r="J16" s="1139"/>
      <c r="K16" s="3566" t="s">
        <v>1133</v>
      </c>
      <c r="L16" s="3567"/>
      <c r="M16" s="3567"/>
      <c r="N16" s="3567"/>
      <c r="O16" s="3567"/>
      <c r="P16" s="3568"/>
    </row>
    <row r="17" spans="1:19" ht="15">
      <c r="A17" s="1649" t="s">
        <v>1134</v>
      </c>
      <c r="B17" s="1650" t="s">
        <v>1135</v>
      </c>
      <c r="C17" s="1651" t="s">
        <v>1136</v>
      </c>
      <c r="D17" s="1652" t="s">
        <v>1124</v>
      </c>
      <c r="E17" s="1653" t="s">
        <v>1125</v>
      </c>
      <c r="F17" s="1654"/>
      <c r="G17" s="1655"/>
      <c r="H17" s="1656" t="s">
        <v>1137</v>
      </c>
      <c r="I17" s="1657" t="s">
        <v>1122</v>
      </c>
      <c r="J17" s="1139"/>
      <c r="K17" s="3563" t="s">
        <v>1138</v>
      </c>
      <c r="L17" s="3564"/>
      <c r="M17" s="3565"/>
      <c r="N17" s="3563" t="s">
        <v>1139</v>
      </c>
      <c r="O17" s="3564"/>
      <c r="P17" s="3565"/>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1" t="s">
        <v>3430</v>
      </c>
      <c r="D19" s="45">
        <f>ROUND($D$3*E19/$E$3,2)</f>
        <v>15637.42</v>
      </c>
      <c r="E19" s="53">
        <f t="shared" ref="E19:E26" si="1">SUM(F19:G19)</f>
        <v>17559.11</v>
      </c>
      <c r="F19" s="2769">
        <f>'数据-基础表'!BB5</f>
        <v>76.040000000000006</v>
      </c>
      <c r="G19" s="2770">
        <f>'数据-基础表'!BC5</f>
        <v>17483.07</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15637.42</v>
      </c>
      <c r="S19" s="1027">
        <f t="shared" si="5"/>
        <v>17559.11</v>
      </c>
    </row>
    <row r="20" spans="1:19">
      <c r="A20" s="1669"/>
      <c r="B20" s="47" t="s">
        <v>1151</v>
      </c>
      <c r="C20" s="3391"/>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1"/>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2"/>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2"/>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2"/>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2"/>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15637.42</v>
      </c>
      <c r="E27" s="1141">
        <f>IF(SUM(E19:E26)='数据-基础表'!BA5,SUM(E19:E26),IF(F27="地上面积有误","面积有误","地下面积有误"))</f>
        <v>17559.11</v>
      </c>
      <c r="F27" s="1140">
        <f>IF(SUM(F19:F26)=E8,SUM(F19:F26),"地上面积有误")</f>
        <v>76.040000000000006</v>
      </c>
      <c r="G27" s="1142">
        <f>SUM(G19:G26)</f>
        <v>17483.07</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15637.42</v>
      </c>
      <c r="S27" s="1026">
        <f>IF(SUM(S19:S26)=$E$3,SUM(S19:S26),SUM(S19:S26)&amp;"误差"&amp;ROUND(SUM(S19:S26)-E3,2))</f>
        <v>17559.11</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15637.42</v>
      </c>
      <c r="E31" s="676">
        <f>E27+E30</f>
        <v>17559.11</v>
      </c>
      <c r="F31" s="677">
        <f>F27+F30</f>
        <v>76.040000000000006</v>
      </c>
      <c r="G31" s="678">
        <f>G27+G30</f>
        <v>17483.07</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L6" activePane="bottomRight" state="frozen"/>
      <selection activeCell="C50" sqref="C50"/>
      <selection pane="topRight" activeCell="C50" sqref="C50"/>
      <selection pane="bottomLeft" activeCell="C50" sqref="C50"/>
      <selection pane="bottomRight" activeCell="U6" sqref="U6"/>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3440</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3427</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475">
        <v>5.5E-2</v>
      </c>
      <c r="J6" s="66">
        <v>7.0000000000000007E-2</v>
      </c>
      <c r="K6" s="1030">
        <f>SUMIF('数据-汇总表'!C$19:C$33,A6,'数据-汇总表'!E$19:E$33)</f>
        <v>17559.11</v>
      </c>
      <c r="L6" s="733">
        <v>5000</v>
      </c>
      <c r="M6" s="67">
        <f t="shared" ref="M6:M14" si="0">ROUND(K6*L6/10000,0)</f>
        <v>8780</v>
      </c>
      <c r="N6" s="731">
        <f>N20</f>
        <v>0.87</v>
      </c>
      <c r="O6" s="67" t="str">
        <f>IF($N$5="成新度","——",ROUND(M6*N6,0))</f>
        <v>——</v>
      </c>
      <c r="P6" s="68" t="str">
        <f>IF($N$5="成新度","——",M6-O6)</f>
        <v>——</v>
      </c>
      <c r="Q6" s="3832">
        <v>0.1</v>
      </c>
      <c r="R6" s="69">
        <f ca="1">SUMIF('数据-汇总表'!C$19:C$33,A6,'数据-汇总表'!R$19:R$27)</f>
        <v>15637.42</v>
      </c>
      <c r="S6" s="51">
        <f>IF('数据-汇总表'!$I$17="按面积比例",SUMIF('数据-汇总表'!C$19:C$33,A6,'数据-汇总表'!K$19:K$33),SUMIF('数据-汇总表'!C$19:C$33,A6,'数据-汇总表'!N$19:N$33))</f>
        <v>0</v>
      </c>
      <c r="T6" s="1172">
        <f>ROUND($L$14*S6/10000,0)</f>
        <v>0</v>
      </c>
      <c r="U6" s="3833">
        <v>2</v>
      </c>
      <c r="V6" s="3490">
        <v>0.02</v>
      </c>
      <c r="W6" s="3490">
        <v>0.15</v>
      </c>
      <c r="X6" s="1040"/>
      <c r="Y6" s="71">
        <f>N6</f>
        <v>0.87</v>
      </c>
      <c r="Z6" s="72"/>
      <c r="AA6" s="66"/>
      <c r="AB6" s="66"/>
      <c r="AC6" s="1040"/>
      <c r="AD6" s="73"/>
      <c r="AE6" s="1041">
        <f ca="1">IF(AN6="",0,SUMIF(INDIRECT("'"&amp;AN6&amp;"'"&amp;"!E:E"),$AE$5,INDIRECT("'"&amp;AN6&amp;"'"&amp;"!F:F")))</f>
        <v>28.5</v>
      </c>
      <c r="AF6" s="1347"/>
      <c r="AG6" s="138">
        <f>IF(AF6="",0,AE6-AF6)</f>
        <v>0</v>
      </c>
      <c r="AH6" s="74"/>
      <c r="AI6" s="76">
        <v>365</v>
      </c>
      <c r="AJ6" s="77"/>
      <c r="AK6" s="78">
        <v>5.0000000000000001E-3</v>
      </c>
      <c r="AL6" s="79">
        <v>1E-3</v>
      </c>
      <c r="AM6" s="80">
        <v>5.0000000000000001E-3</v>
      </c>
      <c r="AN6" s="1714" t="s">
        <v>3627</v>
      </c>
      <c r="AO6" s="52">
        <f ca="1">SUMIF(INDIRECT("'"&amp;AN6&amp;"'"&amp;"!A:A"),"总价",INDIRECT("'"&amp;AN6&amp;"'"&amp;"!B:B"))</f>
        <v>15271</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2"/>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3"/>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2"/>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2"/>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2"/>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2"/>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4"/>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17559.11</v>
      </c>
      <c r="L16" s="93">
        <f>ROUND(M16*10000/SUM(K6:K14),0)</f>
        <v>5000</v>
      </c>
      <c r="M16" s="93">
        <f>SUM(M6:M14)</f>
        <v>8780</v>
      </c>
      <c r="N16" s="94">
        <f>ROUND(SUMPRODUCT(M6:M14,N6:N14)/M16,3)</f>
        <v>0.87</v>
      </c>
      <c r="O16" s="93">
        <f>SUM(O6:O14)</f>
        <v>0</v>
      </c>
      <c r="P16" s="93">
        <f>SUM(P6:P14)</f>
        <v>0</v>
      </c>
      <c r="Q16" s="95">
        <f>ROUND(SUMPRODUCT(Q6:Q13,K6:K13)/SUMPRODUCT((Q6:Q13&gt;0)*(K6:K13)),2)</f>
        <v>0.1</v>
      </c>
      <c r="R16" s="1034">
        <f ca="1">SUM(R6:R13)</f>
        <v>15637.42</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6" t="s">
        <v>3441</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6" t="s">
        <v>3442</v>
      </c>
      <c r="N18" s="2645">
        <f>ROUND(1-(1-0%)*(2024-N17)/60,2)</f>
        <v>0.83</v>
      </c>
      <c r="O18" s="2645"/>
      <c r="P18" s="2645"/>
      <c r="Q18" s="2645"/>
      <c r="R18" s="2645"/>
      <c r="S18" s="2645"/>
      <c r="T18" s="2645"/>
      <c r="U18" s="2645"/>
      <c r="V18" s="3446" t="s">
        <v>3658</v>
      </c>
      <c r="W18" s="3446" t="s">
        <v>3660</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6" t="s">
        <v>3443</v>
      </c>
      <c r="N19" s="3447">
        <v>0.9</v>
      </c>
      <c r="O19" s="2645"/>
      <c r="P19" s="2645"/>
      <c r="Q19" s="2645"/>
      <c r="R19" s="2645"/>
      <c r="S19" s="2645"/>
      <c r="T19" s="2645"/>
      <c r="U19" s="3446" t="s">
        <v>3656</v>
      </c>
      <c r="V19" s="2645">
        <f>'数据-汇总表'!F31</f>
        <v>76.040000000000006</v>
      </c>
      <c r="W19" s="2645">
        <v>5</v>
      </c>
      <c r="X19" s="2645"/>
      <c r="Y19" s="2645"/>
      <c r="Z19" s="2645"/>
      <c r="AA19" s="2645"/>
      <c r="AB19" s="2645"/>
      <c r="AC19" s="2645"/>
      <c r="AD19" s="2645"/>
      <c r="AE19" s="2645"/>
      <c r="AF19" s="2645"/>
      <c r="AG19" s="2645"/>
      <c r="AH19" s="2645">
        <f>U6*0.7</f>
        <v>1.4</v>
      </c>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6" t="s">
        <v>3444</v>
      </c>
      <c r="N20" s="2645">
        <f>ROUND((N19+N18)/2,2)</f>
        <v>0.87</v>
      </c>
      <c r="O20" s="2645"/>
      <c r="P20" s="2645"/>
      <c r="Q20" s="2645"/>
      <c r="R20" s="2645"/>
      <c r="S20" s="2645"/>
      <c r="T20" s="2645"/>
      <c r="U20" s="3446" t="s">
        <v>3657</v>
      </c>
      <c r="V20" s="2645">
        <f>'数据-汇总表'!G31</f>
        <v>17483.07</v>
      </c>
      <c r="W20" s="2645">
        <f>W19*0.7</f>
        <v>3.5</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3431</v>
      </c>
      <c r="L21" s="3438"/>
      <c r="M21" s="3438"/>
      <c r="N21" s="3438"/>
      <c r="O21" s="2645"/>
      <c r="P21" s="2645"/>
      <c r="Q21" s="2645"/>
      <c r="R21" s="2645"/>
      <c r="S21" s="2645"/>
      <c r="T21" s="2645"/>
      <c r="U21" s="3446" t="s">
        <v>3659</v>
      </c>
      <c r="V21" s="2645">
        <f>SUM(V19:V20)</f>
        <v>17559.11</v>
      </c>
      <c r="W21" s="2645">
        <f>ROUND(W19*V19/V21+W20*V20/V21,1)</f>
        <v>3.5</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9"/>
      <c r="L22" s="3440" t="s">
        <v>3393</v>
      </c>
      <c r="M22" s="3440" t="s">
        <v>3432</v>
      </c>
      <c r="N22" s="3440" t="s">
        <v>3423</v>
      </c>
      <c r="O22" s="2645"/>
      <c r="P22" s="2645"/>
      <c r="Q22" s="2645"/>
      <c r="R22" s="2645"/>
      <c r="S22" s="2645"/>
      <c r="T22" s="2645"/>
      <c r="U22" s="2645"/>
      <c r="V22" s="2645"/>
      <c r="W22" s="2645"/>
      <c r="X22" s="2645"/>
      <c r="Y22" s="2645"/>
      <c r="Z22" s="2645"/>
      <c r="AA22" s="2645"/>
      <c r="AB22" s="2645"/>
      <c r="AC22" s="2645"/>
      <c r="AD22" s="2645"/>
      <c r="AE22" s="2645"/>
      <c r="AF22" s="2645"/>
      <c r="AG22" s="2645"/>
      <c r="AH22" s="2645">
        <f>U6*AH6/K6</f>
        <v>0</v>
      </c>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1" t="s">
        <v>3433</v>
      </c>
      <c r="L23" s="3442">
        <f>L24</f>
        <v>17559.11</v>
      </c>
      <c r="M23" s="3442">
        <f>ROUND(N23*10000/L23,0)</f>
        <v>5920</v>
      </c>
      <c r="N23" s="3442">
        <f>N24+N27+N28+N29</f>
        <v>10395</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1" t="s">
        <v>3434</v>
      </c>
      <c r="L24" s="3442">
        <f>L25+L26</f>
        <v>17559.11</v>
      </c>
      <c r="M24" s="3442">
        <f>ROUND(N24/L24*10000,0)</f>
        <v>1795</v>
      </c>
      <c r="N24" s="3442">
        <f>N25+N26</f>
        <v>3152</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40" t="s">
        <v>3425</v>
      </c>
      <c r="L25" s="3443">
        <f>K16</f>
        <v>17559.11</v>
      </c>
      <c r="M25" s="3439">
        <v>1795</v>
      </c>
      <c r="N25" s="3439">
        <f>ROUND(M25*L25/10000,0)</f>
        <v>3152</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40" t="s">
        <v>3428</v>
      </c>
      <c r="L26" s="3439">
        <f>'[3]数据-汇总表'!G30</f>
        <v>0</v>
      </c>
      <c r="M26" s="3439">
        <v>0</v>
      </c>
      <c r="N26" s="3439">
        <f t="shared" ref="N26:N30" si="12">ROUND(M26*L26/10000,0)</f>
        <v>0</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1" t="s">
        <v>3435</v>
      </c>
      <c r="L27" s="3442">
        <f>L24</f>
        <v>17559.11</v>
      </c>
      <c r="M27" s="3442">
        <v>700</v>
      </c>
      <c r="N27" s="3439">
        <f t="shared" si="12"/>
        <v>1229</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1" t="s">
        <v>3436</v>
      </c>
      <c r="L28" s="3442">
        <f>L27</f>
        <v>17559.11</v>
      </c>
      <c r="M28" s="3442">
        <v>0</v>
      </c>
      <c r="N28" s="3439">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351</v>
      </c>
      <c r="C29" s="2776" t="s">
        <v>2266</v>
      </c>
      <c r="D29" s="2653"/>
      <c r="E29" s="2635"/>
      <c r="F29" s="2635"/>
      <c r="G29" s="2647"/>
      <c r="H29" s="2647"/>
      <c r="I29" s="2647"/>
      <c r="J29" s="2647"/>
      <c r="K29" s="3441" t="s">
        <v>3437</v>
      </c>
      <c r="L29" s="3442">
        <f>L28</f>
        <v>17559.11</v>
      </c>
      <c r="M29" s="3442">
        <v>3425</v>
      </c>
      <c r="N29" s="3439">
        <f t="shared" si="12"/>
        <v>6014</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1" t="s">
        <v>3438</v>
      </c>
      <c r="L30" s="3445">
        <f>L29*0.2/3</f>
        <v>1170.6073333333334</v>
      </c>
      <c r="M30" s="3445">
        <f>M29</f>
        <v>3425</v>
      </c>
      <c r="N30" s="3439">
        <f t="shared" si="12"/>
        <v>401</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1"/>
      <c r="L31" s="3444"/>
      <c r="M31" s="3439"/>
      <c r="N31" s="3439"/>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40" t="s">
        <v>3439</v>
      </c>
      <c r="L32" s="3439">
        <f>L24</f>
        <v>17559.11</v>
      </c>
      <c r="M32" s="3439">
        <f>ROUND(N32/L32*10000,0)</f>
        <v>6148</v>
      </c>
      <c r="N32" s="3439">
        <f>N31+N30+N23</f>
        <v>10796</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78" t="s">
        <v>2258</v>
      </c>
      <c r="B1" s="3579"/>
      <c r="C1" s="3579"/>
      <c r="D1" s="3579"/>
      <c r="E1" s="3579"/>
      <c r="F1" s="3579"/>
      <c r="G1" s="3579"/>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50" t="s">
        <v>3599</v>
      </c>
      <c r="D3" s="2460"/>
      <c r="E3" s="2438" t="s">
        <v>2257</v>
      </c>
      <c r="F3" s="2461" t="s">
        <v>2230</v>
      </c>
      <c r="G3" s="3452" t="s">
        <v>3603</v>
      </c>
      <c r="H3" s="799"/>
      <c r="I3" s="799"/>
      <c r="J3" s="799"/>
      <c r="K3" s="799"/>
      <c r="L3" s="799"/>
      <c r="M3" s="799"/>
      <c r="N3" s="799"/>
      <c r="O3" s="799"/>
      <c r="P3" s="799"/>
      <c r="Q3" s="799"/>
      <c r="R3" s="799"/>
    </row>
    <row r="4" spans="1:29">
      <c r="A4" s="2438"/>
      <c r="B4" s="323" t="s">
        <v>2231</v>
      </c>
      <c r="C4" s="3451" t="s">
        <v>3600</v>
      </c>
      <c r="D4" s="2460"/>
      <c r="E4" s="2463"/>
      <c r="F4" s="1372" t="s">
        <v>2232</v>
      </c>
      <c r="G4" s="3453" t="s">
        <v>3604</v>
      </c>
      <c r="H4" s="799"/>
      <c r="I4" s="799"/>
      <c r="J4" s="799"/>
      <c r="K4" s="799"/>
      <c r="L4" s="799"/>
      <c r="M4" s="799"/>
      <c r="N4" s="799"/>
      <c r="O4" s="799"/>
      <c r="P4" s="799"/>
      <c r="Q4" s="799"/>
      <c r="R4" s="799"/>
    </row>
    <row r="5" spans="1:29">
      <c r="A5" s="2438"/>
      <c r="B5" s="323" t="s">
        <v>2234</v>
      </c>
      <c r="C5" s="3451" t="s">
        <v>3602</v>
      </c>
      <c r="D5" s="2460"/>
      <c r="E5" s="2463"/>
      <c r="F5" s="323" t="s">
        <v>2235</v>
      </c>
      <c r="G5" s="3453" t="s">
        <v>3604</v>
      </c>
      <c r="H5" s="799"/>
      <c r="I5" s="799"/>
      <c r="J5" s="799"/>
      <c r="K5" s="799"/>
      <c r="L5" s="799"/>
      <c r="M5" s="799"/>
      <c r="N5" s="799"/>
      <c r="O5" s="799"/>
      <c r="P5" s="799"/>
      <c r="Q5" s="799"/>
      <c r="R5" s="799"/>
    </row>
    <row r="6" spans="1:29" ht="36">
      <c r="A6" s="2438"/>
      <c r="B6" s="323" t="s">
        <v>2237</v>
      </c>
      <c r="C6" s="2464" t="s">
        <v>2233</v>
      </c>
      <c r="D6" s="2460"/>
      <c r="E6" s="2463"/>
      <c r="F6" s="323" t="s">
        <v>2238</v>
      </c>
      <c r="G6" s="3453" t="s">
        <v>3606</v>
      </c>
      <c r="H6" s="799"/>
      <c r="I6" s="799"/>
      <c r="J6" s="799"/>
      <c r="K6" s="799"/>
      <c r="L6" s="799"/>
      <c r="M6" s="799"/>
      <c r="N6" s="799"/>
      <c r="O6" s="799"/>
      <c r="P6" s="799"/>
      <c r="Q6" s="799"/>
      <c r="R6" s="799"/>
    </row>
    <row r="7" spans="1:29" ht="24.75" thickBot="1">
      <c r="A7" s="2438"/>
      <c r="B7" s="323" t="s">
        <v>2235</v>
      </c>
      <c r="C7" s="2464" t="s">
        <v>2236</v>
      </c>
      <c r="D7" s="2465"/>
      <c r="E7" s="2466"/>
      <c r="F7" s="2467" t="s">
        <v>2240</v>
      </c>
      <c r="G7" s="3454" t="s">
        <v>3604</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17559.11</v>
      </c>
      <c r="C1" s="2660"/>
      <c r="D1" s="2660"/>
      <c r="E1" s="2660"/>
      <c r="F1" s="2660"/>
      <c r="G1" s="2661"/>
      <c r="H1" s="2662"/>
      <c r="I1" s="2662"/>
      <c r="J1" s="2662"/>
      <c r="K1" s="2662"/>
    </row>
    <row r="2" spans="1:11" ht="16.5">
      <c r="A2" s="2505" t="s">
        <v>653</v>
      </c>
      <c r="B2" s="2505">
        <f>SUM(C14:C23)</f>
        <v>15637.42</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14648</v>
      </c>
      <c r="C5" s="2505">
        <f ca="1">IF(B5=D14,结果表!H102,ROUND(B5*10000/$B$1,0))</f>
        <v>8342</v>
      </c>
      <c r="D5" s="2505">
        <f ca="1">ROUND(B5*10000/$B$2,0)</f>
        <v>9367</v>
      </c>
      <c r="E5" s="2660"/>
      <c r="F5" s="2661"/>
      <c r="G5" s="2661"/>
      <c r="H5" s="2662"/>
      <c r="I5" s="2662"/>
      <c r="J5" s="2662"/>
      <c r="K5" s="2662"/>
    </row>
    <row r="6" spans="1:11" ht="16.5">
      <c r="A6" s="2505" t="s">
        <v>656</v>
      </c>
      <c r="B6" s="2505">
        <f ca="1">SUM(G14:G23)</f>
        <v>14648</v>
      </c>
      <c r="C6" s="2505">
        <f ca="1">IF(B6=G14,结果表!H108,ROUND(B6*10000/$B$1,0))</f>
        <v>8342</v>
      </c>
      <c r="D6" s="2505">
        <f ca="1">ROUND(B6*10000/$B$2,0)</f>
        <v>9367</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13176</v>
      </c>
      <c r="C8" s="2505">
        <f ca="1">IF(B8=I14,结果表!H112,ROUND(B8*10000/$B$1,0))</f>
        <v>7504</v>
      </c>
      <c r="D8" s="2505">
        <f ca="1">ROUND(B8*10000/$B$2,0)</f>
        <v>8426</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3331</v>
      </c>
      <c r="D10" s="2505" t="s">
        <v>3332</v>
      </c>
      <c r="E10" s="3415"/>
      <c r="F10" s="3419" t="s">
        <v>3333</v>
      </c>
      <c r="G10" s="3416"/>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17559.11</v>
      </c>
      <c r="C14" s="2511">
        <f>结果表!C118</f>
        <v>15637.42</v>
      </c>
      <c r="D14" s="2511">
        <f ca="1">结果表!H101</f>
        <v>14648</v>
      </c>
      <c r="E14" s="2511">
        <f ca="1">ROUND(D14*10000/B14,0)</f>
        <v>8342</v>
      </c>
      <c r="F14" s="2511">
        <f ca="1">ROUND(D14*10000/C14,0)</f>
        <v>9367</v>
      </c>
      <c r="G14" s="2511">
        <f ca="1">结果表!H107</f>
        <v>14648</v>
      </c>
      <c r="H14" s="2511"/>
      <c r="I14" s="2511">
        <f ca="1">结果表!H111</f>
        <v>13176</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90" zoomScaleNormal="100" zoomScaleSheetLayoutView="90" zoomScalePageLayoutView="80" workbookViewId="0">
      <selection activeCell="I35" sqref="I35"/>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3429</v>
      </c>
      <c r="D1" s="1746"/>
      <c r="E1" s="1746"/>
      <c r="F1" s="1748" t="s">
        <v>1261</v>
      </c>
      <c r="G1" s="1560" t="s">
        <v>3370</v>
      </c>
      <c r="H1" s="1749" t="str">
        <f>IF(G1="现房","——","估价对象范围")</f>
        <v>——</v>
      </c>
      <c r="I1" s="1750" t="s">
        <v>3629</v>
      </c>
    </row>
    <row r="2" spans="1:12" ht="21.75" customHeight="1" thickBot="1">
      <c r="A2" s="3648" t="str">
        <f>项目基本情况!S2</f>
        <v>北京市昌平区生命园路20号院1号楼-1至4层101房地产</v>
      </c>
      <c r="B2" s="3649"/>
      <c r="C2" s="3649"/>
      <c r="D2" s="3649"/>
      <c r="E2" s="3649"/>
      <c r="F2" s="3649"/>
      <c r="G2" s="3649"/>
      <c r="H2" s="3649"/>
      <c r="I2" s="3650"/>
    </row>
    <row r="3" spans="1:12" ht="12.75">
      <c r="A3" s="3652" t="s">
        <v>1262</v>
      </c>
      <c r="B3" s="3653"/>
      <c r="C3" s="3653"/>
      <c r="D3" s="3653"/>
      <c r="E3" s="3653"/>
      <c r="F3" s="3653"/>
      <c r="G3" s="3653"/>
      <c r="H3" s="3653"/>
      <c r="I3" s="3653"/>
    </row>
    <row r="4" spans="1:12" ht="14.25">
      <c r="A4" s="1753" t="s">
        <v>1263</v>
      </c>
      <c r="B4" s="1754" t="s">
        <v>1264</v>
      </c>
      <c r="C4" s="1755" t="s">
        <v>3628</v>
      </c>
      <c r="D4" s="1755" t="s">
        <v>3627</v>
      </c>
      <c r="E4" s="3657" t="s">
        <v>1265</v>
      </c>
      <c r="F4" s="3658"/>
      <c r="G4" s="3658"/>
      <c r="H4" s="3658"/>
      <c r="I4" s="3659"/>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6" t="s">
        <v>1266</v>
      </c>
      <c r="B5" s="3651">
        <v>25</v>
      </c>
      <c r="C5" s="3654"/>
      <c r="D5" s="3642"/>
      <c r="E5" s="131" t="s">
        <v>1267</v>
      </c>
      <c r="F5" s="1756"/>
      <c r="G5" s="1756"/>
      <c r="H5" s="1756"/>
      <c r="I5" s="1372"/>
    </row>
    <row r="6" spans="1:12" ht="12.75">
      <c r="A6" s="3596"/>
      <c r="B6" s="3651"/>
      <c r="C6" s="3656"/>
      <c r="D6" s="3642"/>
      <c r="E6" s="131" t="s">
        <v>1268</v>
      </c>
      <c r="F6" s="1756"/>
      <c r="G6" s="1756"/>
      <c r="H6" s="1756"/>
      <c r="I6" s="1372"/>
    </row>
    <row r="7" spans="1:12" ht="12.75">
      <c r="A7" s="3596"/>
      <c r="B7" s="3651"/>
      <c r="C7" s="3655"/>
      <c r="D7" s="3642"/>
      <c r="E7" s="131" t="s">
        <v>1269</v>
      </c>
      <c r="F7" s="1756"/>
      <c r="G7" s="1756"/>
      <c r="H7" s="1756"/>
      <c r="I7" s="1372"/>
    </row>
    <row r="8" spans="1:12" ht="12.75">
      <c r="A8" s="3596" t="s">
        <v>1270</v>
      </c>
      <c r="B8" s="3651">
        <v>15</v>
      </c>
      <c r="C8" s="3654"/>
      <c r="D8" s="3642"/>
      <c r="E8" s="131" t="s">
        <v>1271</v>
      </c>
      <c r="F8" s="1756"/>
      <c r="G8" s="1756"/>
      <c r="H8" s="1756"/>
      <c r="I8" s="1372"/>
    </row>
    <row r="9" spans="1:12" ht="12.75">
      <c r="A9" s="3596"/>
      <c r="B9" s="3651"/>
      <c r="C9" s="3655"/>
      <c r="D9" s="3642"/>
      <c r="E9" s="131" t="s">
        <v>1272</v>
      </c>
      <c r="F9" s="1756"/>
      <c r="G9" s="1756"/>
      <c r="H9" s="1756"/>
      <c r="I9" s="1372"/>
    </row>
    <row r="10" spans="1:12" ht="12.75">
      <c r="A10" s="3596" t="s">
        <v>1273</v>
      </c>
      <c r="B10" s="3651">
        <v>15</v>
      </c>
      <c r="C10" s="3654"/>
      <c r="D10" s="3642"/>
      <c r="E10" s="131" t="s">
        <v>1274</v>
      </c>
      <c r="F10" s="1756"/>
      <c r="G10" s="1756"/>
      <c r="H10" s="1756"/>
      <c r="I10" s="1372"/>
    </row>
    <row r="11" spans="1:12" ht="12.75">
      <c r="A11" s="3596"/>
      <c r="B11" s="3651"/>
      <c r="C11" s="3655"/>
      <c r="D11" s="3642"/>
      <c r="E11" s="131" t="s">
        <v>1275</v>
      </c>
      <c r="F11" s="1756"/>
      <c r="G11" s="1756"/>
      <c r="H11" s="1756"/>
      <c r="I11" s="1372"/>
    </row>
    <row r="12" spans="1:12" ht="12.75">
      <c r="A12" s="3596" t="s">
        <v>1276</v>
      </c>
      <c r="B12" s="3651">
        <v>15</v>
      </c>
      <c r="C12" s="3654"/>
      <c r="D12" s="3642"/>
      <c r="E12" s="131" t="s">
        <v>1277</v>
      </c>
      <c r="F12" s="1756"/>
      <c r="G12" s="1756"/>
      <c r="H12" s="1756"/>
      <c r="I12" s="1372"/>
    </row>
    <row r="13" spans="1:12" ht="12.75">
      <c r="A13" s="3596"/>
      <c r="B13" s="3651"/>
      <c r="C13" s="3655"/>
      <c r="D13" s="3642"/>
      <c r="E13" s="131" t="s">
        <v>1278</v>
      </c>
      <c r="F13" s="1756"/>
      <c r="G13" s="1756"/>
      <c r="H13" s="1756"/>
      <c r="I13" s="1372"/>
    </row>
    <row r="14" spans="1:12" ht="12.75">
      <c r="A14" s="3596" t="s">
        <v>1279</v>
      </c>
      <c r="B14" s="3651">
        <v>30</v>
      </c>
      <c r="C14" s="3654">
        <v>5</v>
      </c>
      <c r="D14" s="3642">
        <v>5</v>
      </c>
      <c r="E14" s="131" t="s">
        <v>1280</v>
      </c>
      <c r="F14" s="1756"/>
      <c r="G14" s="1756"/>
      <c r="H14" s="1756"/>
      <c r="I14" s="1372"/>
    </row>
    <row r="15" spans="1:12" ht="12.75">
      <c r="A15" s="3596"/>
      <c r="B15" s="3651"/>
      <c r="C15" s="3656"/>
      <c r="D15" s="3642"/>
      <c r="E15" s="131" t="s">
        <v>1281</v>
      </c>
      <c r="F15" s="1756"/>
      <c r="G15" s="1756"/>
      <c r="H15" s="1756"/>
      <c r="I15" s="1372"/>
    </row>
    <row r="16" spans="1:12" ht="12.75">
      <c r="A16" s="3596"/>
      <c r="B16" s="3651"/>
      <c r="C16" s="3655"/>
      <c r="D16" s="3642"/>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673" t="s">
        <v>2112</v>
      </c>
      <c r="F18" s="3674"/>
      <c r="G18" s="3674"/>
      <c r="H18" s="3674"/>
      <c r="I18" s="3674"/>
      <c r="J18" s="3471" t="s">
        <v>3652</v>
      </c>
      <c r="K18" s="302" t="s">
        <v>1287</v>
      </c>
      <c r="L18" s="302">
        <f>IF(C1="",'数据-汇总表'!E3,SUMIF(项目类型,C1,'数据-汇总表'!E17:E26)+SUMIF(项目类型,C1,'数据-汇总表'!I17:I26))</f>
        <v>17559.11</v>
      </c>
      <c r="M18" s="302">
        <f>IF(C1="",'数据-汇总表'!E3,SUMIF(项目类型,C1,'数据-汇总表'!E17:E26))</f>
        <v>17559.11</v>
      </c>
    </row>
    <row r="19" spans="1:36" ht="15">
      <c r="A19" s="1760" t="s">
        <v>1288</v>
      </c>
      <c r="B19" s="1761" t="s">
        <v>1289</v>
      </c>
      <c r="C19" s="134">
        <f ca="1">SUMIF(INDIRECT("'"&amp;C4&amp;"'"&amp;"!A:A"),结果表!B19,INDIRECT("'"&amp;C4&amp;"'"&amp;"!B:B"))</f>
        <v>14025</v>
      </c>
      <c r="D19" s="135">
        <f ca="1">SUMIF(INDIRECT("'"&amp;D4&amp;"'"&amp;"!A:A"),结果表!B19,INDIRECT("'"&amp;D4&amp;"'"&amp;"!B:B"))</f>
        <v>15271</v>
      </c>
      <c r="E19" s="1760" t="s">
        <v>1290</v>
      </c>
      <c r="F19" s="1761" t="s">
        <v>1289</v>
      </c>
      <c r="G19" s="136">
        <f ca="1">ROUND(C19*$C$18+D19*$D$18,0)</f>
        <v>14648</v>
      </c>
      <c r="H19" s="1762" t="s">
        <v>1291</v>
      </c>
      <c r="I19" s="129"/>
      <c r="J19" s="728">
        <f>指标!J39</f>
        <v>31452</v>
      </c>
      <c r="K19" s="302" t="s">
        <v>1292</v>
      </c>
      <c r="L19" s="302">
        <f>IF(C1="",'数据-汇总表'!D3,SUMIF(项目类型,C1,'数据-汇总表'!D17:D26)+SUMIF(项目类型,C1,'数据-汇总表'!H17:H27))</f>
        <v>15637.42</v>
      </c>
      <c r="M19" s="302">
        <f>IF(C1="",'数据-汇总表'!D3,SUMIF(项目类型,C1,'数据-汇总表'!D17:D26))</f>
        <v>15637.42</v>
      </c>
    </row>
    <row r="20" spans="1:36" ht="15">
      <c r="A20" s="1763"/>
      <c r="B20" s="1026" t="s">
        <v>1293</v>
      </c>
      <c r="C20" s="137">
        <f ca="1">SUMIF(INDIRECT("'"&amp;C4&amp;"'"&amp;"!A:A"),结果表!B20,INDIRECT("'"&amp;C4&amp;"'"&amp;"!B:B"))</f>
        <v>7987</v>
      </c>
      <c r="D20" s="138">
        <f ca="1">SUMIF(INDIRECT("'"&amp;D4&amp;"'"&amp;"!A:A"),结果表!B20,INDIRECT("'"&amp;D4&amp;"'"&amp;"!B:B"))</f>
        <v>8697</v>
      </c>
      <c r="E20" s="1763"/>
      <c r="F20" s="1026" t="s">
        <v>1293</v>
      </c>
      <c r="G20" s="139">
        <f ca="1">ROUND(C20*$C$18+D20*$D$18,0)</f>
        <v>8342</v>
      </c>
      <c r="H20" s="808" t="s">
        <v>1294</v>
      </c>
      <c r="I20" s="129"/>
      <c r="J20" s="728">
        <f>指标!I39</f>
        <v>17912</v>
      </c>
    </row>
    <row r="21" spans="1:36" ht="15" customHeight="1" thickBot="1">
      <c r="A21" s="828"/>
      <c r="B21" s="1764" t="s">
        <v>1295</v>
      </c>
      <c r="C21" s="719">
        <f ca="1">ROUND(C19*10000/L19,0)</f>
        <v>8969</v>
      </c>
      <c r="D21" s="720">
        <f ca="1">ROUND(D19*10000/L19,0)</f>
        <v>9766</v>
      </c>
      <c r="E21" s="828"/>
      <c r="F21" s="1764" t="s">
        <v>1295</v>
      </c>
      <c r="G21" s="140">
        <f ca="1">ROUND(G19*10000/L19,0)</f>
        <v>9367</v>
      </c>
      <c r="H21" s="1765" t="s">
        <v>1294</v>
      </c>
      <c r="I21" s="129"/>
      <c r="J21" s="728">
        <f>指标!K39</f>
        <v>29788.880000000001</v>
      </c>
    </row>
    <row r="22" spans="1:36" ht="15" thickBot="1">
      <c r="A22" s="1687" t="s">
        <v>1296</v>
      </c>
      <c r="B22" s="1766"/>
      <c r="C22" s="1767"/>
      <c r="D22" s="721">
        <f ca="1">IF(C19&lt;D19,D19/C19-1,C19/D19-1)</f>
        <v>8.8841354723707688E-2</v>
      </c>
      <c r="E22" s="129"/>
      <c r="F22" s="129"/>
      <c r="G22" s="129"/>
      <c r="H22" s="129"/>
      <c r="I22" s="129"/>
      <c r="J22" s="725">
        <f ca="1">(J19-G19)/J19</f>
        <v>0.53427444995548767</v>
      </c>
      <c r="L22" s="3472" t="s">
        <v>3661</v>
      </c>
      <c r="M22" s="3472" t="s">
        <v>3663</v>
      </c>
      <c r="N22" s="3472" t="s">
        <v>3664</v>
      </c>
      <c r="O22" s="3472" t="s">
        <v>3665</v>
      </c>
    </row>
    <row r="23" spans="1:36" ht="13.5" thickBot="1">
      <c r="A23" s="1746"/>
      <c r="B23" s="1746"/>
      <c r="C23" s="1746"/>
      <c r="D23" s="1746"/>
      <c r="E23" s="129"/>
      <c r="F23" s="129"/>
      <c r="G23" s="129"/>
      <c r="H23" s="129"/>
      <c r="I23" s="129"/>
      <c r="L23" s="2517" t="s">
        <v>3662</v>
      </c>
      <c r="M23" s="2517">
        <v>24883</v>
      </c>
      <c r="N23" s="2517">
        <v>19390</v>
      </c>
      <c r="O23" s="2517">
        <v>17441</v>
      </c>
    </row>
    <row r="24" spans="1:36" ht="14.25">
      <c r="A24" s="3666" t="s">
        <v>1297</v>
      </c>
      <c r="B24" s="1761" t="s">
        <v>1289</v>
      </c>
      <c r="C24" s="136">
        <f>IF(B30=0,0,D30)</f>
        <v>0</v>
      </c>
      <c r="D24" s="1768"/>
      <c r="E24" s="129"/>
      <c r="F24" s="129"/>
      <c r="G24" s="129"/>
      <c r="H24" s="129"/>
      <c r="I24" s="129"/>
      <c r="L24" s="2517"/>
      <c r="M24" s="2517"/>
      <c r="N24" s="2517"/>
      <c r="O24" s="2517"/>
    </row>
    <row r="25" spans="1:36" ht="14.25">
      <c r="A25" s="3667"/>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3"/>
      <c r="M31" s="3473"/>
      <c r="N31" s="3473"/>
      <c r="O31" s="347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14648</v>
      </c>
      <c r="D32" s="1774" t="s">
        <v>3630</v>
      </c>
      <c r="E32" s="129"/>
      <c r="F32" s="129"/>
      <c r="G32" s="129"/>
      <c r="H32" s="129"/>
      <c r="I32" s="129"/>
      <c r="L32" s="2517"/>
      <c r="M32" s="2517"/>
      <c r="N32" s="2517"/>
      <c r="O32" s="2517"/>
    </row>
    <row r="33" spans="1:15" ht="15">
      <c r="A33" s="786" t="s">
        <v>1304</v>
      </c>
      <c r="B33" s="1775"/>
      <c r="C33" s="1776" t="s">
        <v>3631</v>
      </c>
      <c r="D33" s="1777" t="s">
        <v>3628</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3530</v>
      </c>
      <c r="D34" s="861">
        <f ca="1">IF(C33="自定义",ROUND(C34/C32,3),IF(C33="收益比率",SUMIF(INDIRECT("'"&amp;D33&amp;"'"&amp;"!b:b"),"土地收益比率",INDIRECT("'"&amp;D33&amp;"'"&amp;"!c:c")),SUMIF(INDIRECT("'"&amp;D33&amp;"'"&amp;"!b:b"),"土地成本比率",INDIRECT("'"&amp;D33&amp;"'"&amp;"!c:c"))))</f>
        <v>0.24099999999999999</v>
      </c>
      <c r="E34" s="1782" t="s">
        <v>1307</v>
      </c>
      <c r="F34" s="1329"/>
      <c r="G34" s="129"/>
      <c r="H34" s="129"/>
      <c r="I34" s="129"/>
      <c r="L34" s="2517"/>
      <c r="M34" s="2517"/>
      <c r="N34" s="2517"/>
      <c r="O34" s="2517"/>
    </row>
    <row r="35" spans="1:15" ht="15.75" thickBot="1">
      <c r="A35" s="1783"/>
      <c r="B35" s="1784" t="s">
        <v>1308</v>
      </c>
      <c r="C35" s="1170">
        <f ca="1">IF(C33="自定义",F35,ROUND(C32*D35,0))</f>
        <v>11118</v>
      </c>
      <c r="D35" s="1171">
        <f ca="1">IF(C33="自定义",ROUND(C35/C32,3),IF(C33="收益比率",SUMIF(INDIRECT("'"&amp;D33&amp;"'"&amp;"!b:b"),"建筑物收益比率",INDIRECT("'"&amp;D33&amp;"'"&amp;"!c:c")),SUMIF(INDIRECT("'"&amp;D33&amp;"'"&amp;"!b:b"),"建筑物成本比率",INDIRECT("'"&amp;D33&amp;"'"&amp;"!c:c"))))</f>
        <v>0.75900000000000001</v>
      </c>
      <c r="E35" s="1785" t="s">
        <v>1309</v>
      </c>
      <c r="F35" s="154"/>
      <c r="G35" s="129"/>
      <c r="H35" s="129"/>
      <c r="I35" s="129"/>
      <c r="L35" s="2517"/>
      <c r="M35" s="2517"/>
      <c r="N35" s="2517"/>
      <c r="O35" s="2517"/>
    </row>
    <row r="36" spans="1:15" ht="15.75" thickBot="1">
      <c r="A36" s="3643" t="s">
        <v>1310</v>
      </c>
      <c r="B36" s="1786" t="s">
        <v>1311</v>
      </c>
      <c r="C36" s="145"/>
      <c r="D36" s="1787"/>
      <c r="E36" s="1788"/>
      <c r="F36" s="1789"/>
      <c r="G36" s="129"/>
      <c r="H36" s="129"/>
      <c r="I36" s="129"/>
    </row>
    <row r="37" spans="1:15" ht="15.75" thickBot="1">
      <c r="A37" s="3644"/>
      <c r="B37" s="1673" t="s">
        <v>1312</v>
      </c>
      <c r="C37" s="147"/>
      <c r="D37" s="1139"/>
      <c r="E37" s="1139"/>
      <c r="F37" s="1789"/>
      <c r="G37" s="129"/>
      <c r="H37" s="129"/>
      <c r="I37" s="129"/>
    </row>
    <row r="38" spans="1:15" ht="15.75" thickBot="1">
      <c r="A38" s="3645"/>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663" t="s">
        <v>1324</v>
      </c>
      <c r="B45" s="3664"/>
      <c r="C45" s="3665"/>
      <c r="D45" s="155">
        <f ca="1">ROUND(H101*F45,0)</f>
        <v>14648</v>
      </c>
      <c r="E45" s="156" t="s">
        <v>1325</v>
      </c>
      <c r="F45" s="157">
        <v>1</v>
      </c>
      <c r="G45" s="158" t="s">
        <v>1326</v>
      </c>
      <c r="H45" s="129"/>
      <c r="I45" s="129"/>
      <c r="J45" s="3582" t="s">
        <v>1327</v>
      </c>
      <c r="K45" s="3582"/>
      <c r="L45" s="3582"/>
      <c r="M45" s="3582"/>
      <c r="N45" s="3582"/>
      <c r="O45" s="3582"/>
    </row>
    <row r="46" spans="1:15" ht="14.25" customHeight="1">
      <c r="A46" s="3660" t="s">
        <v>1328</v>
      </c>
      <c r="B46" s="3661"/>
      <c r="C46" s="3661"/>
      <c r="D46" s="3661"/>
      <c r="E46" s="3661"/>
      <c r="F46" s="3661"/>
      <c r="G46" s="3662"/>
      <c r="H46" s="1805"/>
      <c r="I46" s="159"/>
      <c r="J46" s="2516">
        <v>1</v>
      </c>
      <c r="K46" s="3583" t="s">
        <v>1329</v>
      </c>
      <c r="L46" s="3583"/>
      <c r="M46" s="3584"/>
      <c r="N46" s="3584"/>
      <c r="O46" s="3584"/>
    </row>
    <row r="47" spans="1:15" ht="12" customHeight="1">
      <c r="A47" s="160" t="s">
        <v>1330</v>
      </c>
      <c r="B47" s="161"/>
      <c r="C47" s="162"/>
      <c r="D47" s="1087" t="s">
        <v>1331</v>
      </c>
      <c r="E47" s="302" t="s">
        <v>1332</v>
      </c>
      <c r="F47" s="163" t="s">
        <v>1333</v>
      </c>
      <c r="G47" s="2520" t="s">
        <v>1334</v>
      </c>
      <c r="H47" s="2521"/>
      <c r="I47" s="159"/>
      <c r="J47" s="170">
        <v>2</v>
      </c>
      <c r="K47" s="3585" t="s">
        <v>3636</v>
      </c>
      <c r="L47" s="3585"/>
      <c r="M47" s="3586">
        <f>'数据-取费表'!B2</f>
        <v>45400</v>
      </c>
      <c r="N47" s="3586"/>
      <c r="O47" s="3586"/>
    </row>
    <row r="48" spans="1:15" ht="25.5">
      <c r="A48" s="3646" t="s">
        <v>1335</v>
      </c>
      <c r="B48" s="3647"/>
      <c r="C48" s="3647"/>
      <c r="D48" s="2323">
        <f ca="1">IF(H48="情况1",0,IF(H48="情况2",D52,IF(H48="情况3",D53,IF(H48="情况4",D54))))</f>
        <v>767</v>
      </c>
      <c r="E48" s="2333" t="str">
        <f>IF(H48="情况4","(销售额-原购置价)×税（费）率","销售额×税（费）率")</f>
        <v>(销售额-原购置价)×税（费）率</v>
      </c>
      <c r="F48" s="2522">
        <f>IF(H48="情况1","免征",'数据-取费表'!B41)</f>
        <v>5.5000000000000007E-2</v>
      </c>
      <c r="G48" s="2523" t="s">
        <v>1336</v>
      </c>
      <c r="H48" s="2524" t="s">
        <v>3632</v>
      </c>
      <c r="I48" s="1805"/>
      <c r="J48" s="170">
        <v>3</v>
      </c>
      <c r="K48" s="3585" t="s">
        <v>3644</v>
      </c>
      <c r="L48" s="3585"/>
      <c r="M48" s="3587">
        <f ca="1">H101</f>
        <v>14648</v>
      </c>
      <c r="N48" s="3587"/>
      <c r="O48" s="3587"/>
    </row>
    <row r="49" spans="1:35" ht="25.5" customHeight="1">
      <c r="A49" s="2332" t="s">
        <v>1337</v>
      </c>
      <c r="B49" s="3632" t="s">
        <v>1338</v>
      </c>
      <c r="C49" s="3632"/>
      <c r="D49" s="1589">
        <v>0</v>
      </c>
      <c r="E49" s="324" t="s">
        <v>1339</v>
      </c>
      <c r="F49" s="2420" t="s">
        <v>28</v>
      </c>
      <c r="G49" s="3615"/>
      <c r="H49" s="2309" t="s">
        <v>2115</v>
      </c>
      <c r="I49" s="2310"/>
      <c r="J49" s="170">
        <v>4</v>
      </c>
      <c r="K49" s="3585" t="str">
        <f>IF(项目基本情况!E8="房地产抵押价值","房地产抵押价值","抵押担保权已注销时的房地产抵押价值")</f>
        <v>房地产抵押价值</v>
      </c>
      <c r="L49" s="3585"/>
      <c r="M49" s="3587">
        <f ca="1">IF(项目基本情况!E8="房地产抵押价值",H107,H109)</f>
        <v>14648</v>
      </c>
      <c r="N49" s="3587"/>
      <c r="O49" s="3587"/>
    </row>
    <row r="50" spans="1:35" ht="25.5" customHeight="1">
      <c r="A50" s="2525"/>
      <c r="B50" s="3632" t="s">
        <v>1340</v>
      </c>
      <c r="C50" s="3632"/>
      <c r="D50" s="2526"/>
      <c r="E50" s="332"/>
      <c r="F50" s="2420"/>
      <c r="G50" s="3616"/>
      <c r="H50" s="2311" t="s">
        <v>2116</v>
      </c>
      <c r="I50" s="2310"/>
      <c r="J50" s="3587" t="s">
        <v>3637</v>
      </c>
      <c r="K50" s="3587"/>
      <c r="L50" s="3587"/>
      <c r="M50" s="3587"/>
      <c r="N50" s="3587"/>
      <c r="O50" s="3587"/>
    </row>
    <row r="51" spans="1:35" ht="20.45" customHeight="1">
      <c r="A51" s="2527"/>
      <c r="B51" s="3632" t="s">
        <v>1341</v>
      </c>
      <c r="C51" s="3632"/>
      <c r="D51" s="1087"/>
      <c r="E51" s="327"/>
      <c r="F51" s="2420"/>
      <c r="G51" s="3617"/>
      <c r="H51" s="2311" t="s">
        <v>2117</v>
      </c>
      <c r="I51" s="2310"/>
      <c r="J51" s="174" t="s">
        <v>3638</v>
      </c>
      <c r="K51" s="3585" t="s">
        <v>3639</v>
      </c>
      <c r="L51" s="3585"/>
      <c r="M51" s="174" t="s">
        <v>3645</v>
      </c>
      <c r="N51" s="174" t="s">
        <v>3640</v>
      </c>
      <c r="O51" s="174" t="s">
        <v>3641</v>
      </c>
    </row>
    <row r="52" spans="1:35" ht="24" customHeight="1">
      <c r="A52" s="2334" t="s">
        <v>1342</v>
      </c>
      <c r="B52" s="3632" t="s">
        <v>1343</v>
      </c>
      <c r="C52" s="3632"/>
      <c r="D52" s="1087">
        <f ca="1">ROUND(D45*'数据-取费表'!B41/(1+'数据-取费表'!C42),0)</f>
        <v>767</v>
      </c>
      <c r="E52" s="2333" t="s">
        <v>1344</v>
      </c>
      <c r="F52" s="2528">
        <f>'数据-取费表'!B41</f>
        <v>5.5000000000000007E-2</v>
      </c>
      <c r="G52" s="2529"/>
      <c r="H52" s="2518"/>
      <c r="I52" s="1806"/>
      <c r="J52" s="170">
        <v>1</v>
      </c>
      <c r="K52" s="3609" t="s">
        <v>3646</v>
      </c>
      <c r="L52" s="3609"/>
      <c r="M52" s="170">
        <f ca="1">D48</f>
        <v>767</v>
      </c>
      <c r="N52" s="170" t="str">
        <f>E48</f>
        <v>(销售额-原购置价)×税（费）率</v>
      </c>
      <c r="O52" s="3457">
        <f>F48</f>
        <v>5.5000000000000007E-2</v>
      </c>
    </row>
    <row r="53" spans="1:35" ht="12" customHeight="1">
      <c r="A53" s="2334" t="s">
        <v>1345</v>
      </c>
      <c r="B53" s="3633" t="s">
        <v>2263</v>
      </c>
      <c r="C53" s="3634"/>
      <c r="D53" s="1087">
        <f ca="1">ROUND(D45*'数据-取费表'!B41/(1+'数据-取费表'!C42),0)</f>
        <v>767</v>
      </c>
      <c r="E53" s="2333" t="s">
        <v>1344</v>
      </c>
      <c r="F53" s="2528">
        <f>'数据-取费表'!B41</f>
        <v>5.5000000000000007E-2</v>
      </c>
      <c r="G53" s="2529"/>
      <c r="H53" s="2518"/>
      <c r="I53" s="1806"/>
      <c r="J53" s="170">
        <v>2</v>
      </c>
      <c r="K53" s="3609" t="s">
        <v>3647</v>
      </c>
      <c r="L53" s="3609"/>
      <c r="M53" s="170">
        <f t="shared" ref="M53:O54" ca="1" si="0">D55</f>
        <v>7</v>
      </c>
      <c r="N53" s="170" t="str">
        <f t="shared" si="0"/>
        <v>销售额×税（费）率</v>
      </c>
      <c r="O53" s="3457">
        <f t="shared" si="0"/>
        <v>5.0000000000000001E-4</v>
      </c>
    </row>
    <row r="54" spans="1:35" ht="12" customHeight="1">
      <c r="A54" s="2334" t="s">
        <v>1346</v>
      </c>
      <c r="B54" s="3633" t="s">
        <v>2264</v>
      </c>
      <c r="C54" s="3634"/>
      <c r="D54" s="1087">
        <f ca="1">C68</f>
        <v>767</v>
      </c>
      <c r="E54" s="327" t="s">
        <v>1347</v>
      </c>
      <c r="F54" s="2528">
        <f>'数据-取费表'!B41</f>
        <v>5.5000000000000007E-2</v>
      </c>
      <c r="G54" s="2529"/>
      <c r="H54" s="2530"/>
      <c r="I54" s="1806"/>
      <c r="J54" s="170">
        <v>3</v>
      </c>
      <c r="K54" s="3609" t="s">
        <v>3648</v>
      </c>
      <c r="L54" s="3609"/>
      <c r="M54" s="3470">
        <f ca="1">ROUND(M49*5%/1.05,0)</f>
        <v>698</v>
      </c>
      <c r="N54" s="170" t="str">
        <f t="shared" si="0"/>
        <v>增值额×税（费）率</v>
      </c>
      <c r="O54" s="3458" t="str">
        <f t="shared" si="0"/>
        <v>——</v>
      </c>
    </row>
    <row r="55" spans="1:35" ht="24" customHeight="1">
      <c r="A55" s="3669" t="s">
        <v>1348</v>
      </c>
      <c r="B55" s="3647"/>
      <c r="C55" s="3647"/>
      <c r="D55" s="2323">
        <f ca="1">IF(H55="个人住宅",0,ROUND(D45*I55,0))</f>
        <v>7</v>
      </c>
      <c r="E55" s="2333" t="s">
        <v>1349</v>
      </c>
      <c r="F55" s="2528">
        <f>IF(H55="正常",I55,"免征")</f>
        <v>5.0000000000000001E-4</v>
      </c>
      <c r="G55" s="2529"/>
      <c r="H55" s="2524" t="s">
        <v>3633</v>
      </c>
      <c r="I55" s="165">
        <f>'数据-取费表'!B49</f>
        <v>5.0000000000000001E-4</v>
      </c>
      <c r="J55" s="170" t="str">
        <f>IF(H59="非个人房产","",4)</f>
        <v/>
      </c>
      <c r="K55" s="3609" t="str">
        <f>IF(H59="非个人房产","——","个人所得税")</f>
        <v>——</v>
      </c>
      <c r="L55" s="3609"/>
      <c r="M55" s="2029" t="str">
        <f>D59</f>
        <v>——</v>
      </c>
      <c r="N55" s="2029" t="str">
        <f>E59</f>
        <v>——</v>
      </c>
      <c r="O55" s="3459" t="str">
        <f>F59</f>
        <v>——</v>
      </c>
    </row>
    <row r="56" spans="1:35" ht="24.75">
      <c r="A56" s="3669" t="s">
        <v>1350</v>
      </c>
      <c r="B56" s="3647"/>
      <c r="C56" s="3647"/>
      <c r="D56" s="2323">
        <f ca="1">IF(H56="个人住宅",D57,D58)</f>
        <v>8304</v>
      </c>
      <c r="E56" s="2333" t="s">
        <v>1351</v>
      </c>
      <c r="F56" s="2528" t="str">
        <f>IF(H56="正常",F58,"免征")</f>
        <v>——</v>
      </c>
      <c r="G56" s="2531" t="s">
        <v>1352</v>
      </c>
      <c r="H56" s="2532" t="s">
        <v>3633</v>
      </c>
      <c r="I56" s="1807"/>
      <c r="J56" s="170" t="str">
        <f>IF(项目基本情况!K6="上海银行",IF(J55="",4,J55+1),"")</f>
        <v/>
      </c>
      <c r="K56" s="3590" t="str">
        <f>IF(项目基本情况!K6="上海银行","其他处置费用","")</f>
        <v/>
      </c>
      <c r="L56" s="3591"/>
      <c r="M56" s="170" t="str">
        <f>IF(项目基本情况!K6="上海银行",M69,"")</f>
        <v/>
      </c>
      <c r="N56" s="3590" t="str">
        <f>IF(项目基本情况!K6="上海银行","包含处置中涉及的律师、诉讼、拍卖、评估等费用","")</f>
        <v/>
      </c>
      <c r="O56" s="3593"/>
    </row>
    <row r="57" spans="1:35" ht="12.75">
      <c r="A57" s="2334" t="s">
        <v>1337</v>
      </c>
      <c r="B57" s="3633" t="s">
        <v>1353</v>
      </c>
      <c r="C57" s="3634"/>
      <c r="D57" s="1589">
        <v>0</v>
      </c>
      <c r="E57" s="324" t="s">
        <v>1339</v>
      </c>
      <c r="F57" s="302"/>
      <c r="G57" s="2529"/>
      <c r="H57" s="2533"/>
      <c r="I57" s="1807"/>
      <c r="J57" s="3609">
        <f>IF(AND(J55="",J56=""),4,IF(项目基本情况!K6="上海银行",结果表!J56+1,结果表!J55+1))</f>
        <v>4</v>
      </c>
      <c r="K57" s="3609" t="s">
        <v>3649</v>
      </c>
      <c r="L57" s="2555" t="s">
        <v>3642</v>
      </c>
      <c r="M57" s="3460"/>
      <c r="N57" s="3461">
        <f ca="1">SUMIF(M52:M56,"&lt;9e307")</f>
        <v>1472</v>
      </c>
      <c r="O57" s="3462"/>
      <c r="P57" s="2664">
        <f ca="1">N57/M49</f>
        <v>0.10049153468050245</v>
      </c>
    </row>
    <row r="58" spans="1:35" ht="24.75">
      <c r="A58" s="2334" t="s">
        <v>1342</v>
      </c>
      <c r="B58" s="3633" t="s">
        <v>1354</v>
      </c>
      <c r="C58" s="3632"/>
      <c r="D58" s="2323">
        <f ca="1">IF(H58="转让取得",C81,C97)</f>
        <v>8304</v>
      </c>
      <c r="E58" s="2333" t="s">
        <v>1351</v>
      </c>
      <c r="F58" s="302" t="s">
        <v>28</v>
      </c>
      <c r="G58" s="2529"/>
      <c r="H58" s="2532" t="s">
        <v>3634</v>
      </c>
      <c r="I58" s="1807"/>
      <c r="J58" s="3609"/>
      <c r="K58" s="3609"/>
      <c r="L58" s="2555" t="s">
        <v>3643</v>
      </c>
      <c r="M58" s="2555"/>
      <c r="N58" s="3463" t="str">
        <f ca="1">NUMBERSTRING(INT(N57*10000),2)&amp;"元整"</f>
        <v>壹仟肆佰柒拾贰万元整</v>
      </c>
      <c r="O58" s="2096"/>
    </row>
    <row r="59" spans="1:35" ht="24.75" thickBot="1">
      <c r="A59" s="3613" t="s">
        <v>1355</v>
      </c>
      <c r="B59" s="3614"/>
      <c r="C59" s="3614"/>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3635</v>
      </c>
      <c r="I59" s="2312" t="s">
        <v>2118</v>
      </c>
      <c r="J59" s="3611">
        <f>J57+1</f>
        <v>5</v>
      </c>
      <c r="K59" s="3609" t="s">
        <v>3650</v>
      </c>
      <c r="L59" s="170" t="s">
        <v>3642</v>
      </c>
      <c r="M59" s="3464"/>
      <c r="N59" s="3465">
        <f ca="1">M49-N57</f>
        <v>13176</v>
      </c>
      <c r="O59" s="3466"/>
    </row>
    <row r="60" spans="1:35" ht="12" customHeight="1">
      <c r="A60" s="1808"/>
      <c r="B60" s="1746"/>
      <c r="C60" s="1746"/>
      <c r="D60" s="1746"/>
      <c r="E60" s="1577"/>
      <c r="F60" s="1807"/>
      <c r="G60" s="1807"/>
      <c r="H60" s="1809"/>
      <c r="I60" s="129"/>
      <c r="J60" s="3612"/>
      <c r="K60" s="3609"/>
      <c r="L60" s="2555" t="s">
        <v>3643</v>
      </c>
      <c r="M60" s="2555"/>
      <c r="N60" s="3463" t="str">
        <f ca="1">NUMBERSTRING(INT(N59*10000),2)&amp;"元整"</f>
        <v>壹亿叁仟壹佰柒拾陆万元整</v>
      </c>
      <c r="O60" s="2096"/>
    </row>
    <row r="61" spans="1:35" ht="13.5" thickBot="1">
      <c r="A61" s="3668" t="s">
        <v>1356</v>
      </c>
      <c r="B61" s="3668"/>
      <c r="C61" s="3668"/>
      <c r="D61" s="3668"/>
      <c r="E61" s="3668"/>
      <c r="F61" s="1807"/>
      <c r="G61" s="1807"/>
      <c r="H61" s="1809"/>
      <c r="I61" s="129"/>
      <c r="J61" s="170">
        <f>J59+1</f>
        <v>6</v>
      </c>
      <c r="K61" s="3609" t="s">
        <v>3651</v>
      </c>
      <c r="L61" s="3609"/>
      <c r="M61" s="3467"/>
      <c r="N61" s="3468">
        <f ca="1">ROUND(N59*10000/'数据-汇总表'!E3,0)</f>
        <v>7504</v>
      </c>
      <c r="O61" s="3469"/>
    </row>
    <row r="62" spans="1:35" ht="12.75">
      <c r="A62" s="3628" t="s">
        <v>1357</v>
      </c>
      <c r="B62" s="3629"/>
      <c r="C62" s="2020"/>
      <c r="D62" s="2020" t="s">
        <v>1358</v>
      </c>
      <c r="E62" s="166" t="s">
        <v>1359</v>
      </c>
      <c r="F62" s="1807"/>
      <c r="G62" s="1807"/>
      <c r="H62" s="1809"/>
      <c r="I62" s="129"/>
    </row>
    <row r="63" spans="1:35" ht="12.75">
      <c r="A63" s="173" t="s">
        <v>330</v>
      </c>
      <c r="B63" s="167" t="s">
        <v>1360</v>
      </c>
      <c r="C63" s="2538">
        <f ca="1">ROUND((C64+C65)/(1+'数据-取费表'!C42),0)</f>
        <v>13950</v>
      </c>
      <c r="D63" s="167"/>
      <c r="E63" s="168"/>
      <c r="F63" s="1807"/>
      <c r="G63" s="1807"/>
      <c r="H63" s="1809"/>
      <c r="I63" s="129"/>
      <c r="J63" s="3592" t="s">
        <v>1361</v>
      </c>
      <c r="K63" s="1331" t="s">
        <v>1362</v>
      </c>
      <c r="L63" s="1331">
        <f ca="1">IF(M49&gt;10000,M49*0.5%,IF(AND(M49&gt;1000,M49&lt;=10000),M49*1%,IF(AND(M49&gt;100,M49&lt;=1000),M49*3%,IF(AND(M49&gt;10,M49&lt;=100),M49*5%,M49*8%))))</f>
        <v>73.239999999999995</v>
      </c>
      <c r="M63" s="302">
        <f ca="1">ROUND(L63,1)</f>
        <v>73.2</v>
      </c>
      <c r="N63" s="2517"/>
      <c r="Z63" s="1751"/>
      <c r="AI63" s="1752"/>
    </row>
    <row r="64" spans="1:35" ht="14.25" customHeight="1">
      <c r="A64" s="169" t="s">
        <v>325</v>
      </c>
      <c r="B64" s="170" t="s">
        <v>1363</v>
      </c>
      <c r="C64" s="2539">
        <f ca="1">D45</f>
        <v>14648</v>
      </c>
      <c r="D64" s="170" t="s">
        <v>26</v>
      </c>
      <c r="E64" s="172"/>
      <c r="F64" s="1807"/>
      <c r="G64" s="1807"/>
      <c r="H64" s="1809"/>
      <c r="I64" s="129"/>
      <c r="J64" s="3592"/>
      <c r="K64" s="1331" t="s">
        <v>1364</v>
      </c>
      <c r="L64" s="1331">
        <f ca="1">IF(M49&gt;2000,M49*0.5%,IF(AND(M49&gt;1000,M49&lt;=2000),M49*0.6%,IF(AND(M49&gt;500,M49&lt;=1000),M49*0.7%,IF(AND(M49&gt;200,M49&lt;=500),M49*0.8%,IF(AND(M49&gt;100,M49&lt;=200),M49*0.9%,IF(AND(M49&gt;50,M49&lt;=100),M49*1%,IF(AND(M49&gt;20,M49&lt;=50),M49*1.5%,IF(AND(M49&gt;10,M49&lt;=20),M49*2%,IF(AND(M49&gt;1,M49&lt;=10),M49*2.5%)))))))))</f>
        <v>73.239999999999995</v>
      </c>
      <c r="M64" s="302">
        <f t="shared" ref="M64:M65" ca="1" si="1">ROUND(L64,1)</f>
        <v>73.2</v>
      </c>
      <c r="N64" s="2518" t="s">
        <v>1365</v>
      </c>
      <c r="Z64" s="1751"/>
      <c r="AI64" s="1752"/>
    </row>
    <row r="65" spans="1:35" ht="14.25" customHeight="1">
      <c r="A65" s="169" t="s">
        <v>326</v>
      </c>
      <c r="B65" s="170" t="s">
        <v>1366</v>
      </c>
      <c r="C65" s="2540"/>
      <c r="D65" s="170"/>
      <c r="E65" s="172"/>
      <c r="F65" s="1807"/>
      <c r="G65" s="1807"/>
      <c r="H65" s="1809"/>
      <c r="I65" s="129"/>
      <c r="J65" s="3592"/>
      <c r="K65" s="1331" t="s">
        <v>1367</v>
      </c>
      <c r="L65" s="1331">
        <f ca="1">IF(M49&gt;1000,M49*0.1%,IF(AND(M49&gt;500,M49&lt;=1000),M49*0.5%,IF(AND(M49&gt;50,M49&lt;=500),M49*1%,IF(AND(M49&gt;1,M49&lt;=50),M49*1.5%))))</f>
        <v>14.648</v>
      </c>
      <c r="M65" s="302">
        <f t="shared" ca="1" si="1"/>
        <v>14.6</v>
      </c>
      <c r="N65" s="2518" t="s">
        <v>1365</v>
      </c>
      <c r="Z65" s="1751"/>
      <c r="AI65" s="1752"/>
    </row>
    <row r="66" spans="1:35" ht="14.25" customHeight="1">
      <c r="A66" s="173" t="s">
        <v>327</v>
      </c>
      <c r="B66" s="174" t="s">
        <v>1368</v>
      </c>
      <c r="C66" s="2541"/>
      <c r="D66" s="174" t="s">
        <v>26</v>
      </c>
      <c r="E66" s="1337" t="s">
        <v>671</v>
      </c>
      <c r="F66" s="1807"/>
      <c r="G66" s="1807"/>
      <c r="H66" s="1809"/>
      <c r="I66" s="129"/>
      <c r="J66" s="3592"/>
      <c r="K66" s="1331" t="s">
        <v>1369</v>
      </c>
      <c r="L66" s="1331">
        <f ca="1">M49*0.5%</f>
        <v>73.239999999999995</v>
      </c>
      <c r="M66" s="302">
        <f ca="1">IF(L66&gt;0.5,0.5,ROUND(L66,0))</f>
        <v>0.5</v>
      </c>
      <c r="N66" s="2518" t="s">
        <v>1370</v>
      </c>
      <c r="Z66" s="1751"/>
      <c r="AI66" s="1752"/>
    </row>
    <row r="67" spans="1:35" ht="14.25" customHeight="1">
      <c r="A67" s="173" t="s">
        <v>328</v>
      </c>
      <c r="B67" s="174" t="s">
        <v>1371</v>
      </c>
      <c r="C67" s="2542">
        <f ca="1">C63-C66</f>
        <v>13950</v>
      </c>
      <c r="D67" s="170" t="s">
        <v>26</v>
      </c>
      <c r="E67" s="172"/>
      <c r="F67" s="1807"/>
      <c r="G67" s="1807"/>
      <c r="H67" s="1809"/>
      <c r="I67" s="129"/>
      <c r="J67" s="3592"/>
      <c r="K67" s="1331" t="s">
        <v>1372</v>
      </c>
      <c r="L67" s="1331">
        <f ca="1">IF(M49&gt;=10000,(8.25+(M49-10000)*0.01%),IF(AND(M49&gt;=8000,M49&lt;10000),(7.85+(M49-8000)*0.02%),IF(AND(M49&gt;=5000,M49&lt;8000),(6.65+(M49-5000)*0.04%),IF(AND(M49&gt;=2000,M49&lt;5000),(4.25+(PM49-2000)*0.08%),IF(AND(M49&gt;=1000,M49&lt;2000),(2.75+(M49-1000)*0.15%),IF(AND(M49&gt;=100,M49&lt;1000),(0.5+(M49-100)*0.25%),IF(AND(M49&gt;0,M49&lt;100),M49*0.5%)))))))</f>
        <v>8.7148000000000003</v>
      </c>
      <c r="M67" s="302">
        <f ca="1">ROUND(L67*0.9,1)</f>
        <v>7.8</v>
      </c>
      <c r="N67" s="2517"/>
      <c r="Z67" s="1751"/>
      <c r="AI67" s="1752"/>
    </row>
    <row r="68" spans="1:35" ht="14.25" customHeight="1" thickBot="1">
      <c r="A68" s="176" t="s">
        <v>329</v>
      </c>
      <c r="B68" s="177" t="s">
        <v>1373</v>
      </c>
      <c r="C68" s="2543">
        <f ca="1">IF(C67&lt;=0,0,ROUND(C67*D68,0))</f>
        <v>767</v>
      </c>
      <c r="D68" s="2544">
        <f>'数据-取费表'!B41</f>
        <v>5.5000000000000007E-2</v>
      </c>
      <c r="E68" s="178"/>
      <c r="F68" s="1807"/>
      <c r="G68" s="1807"/>
      <c r="H68" s="1809"/>
      <c r="I68" s="129"/>
      <c r="J68" s="3592"/>
      <c r="K68" s="1331" t="s">
        <v>1374</v>
      </c>
      <c r="L68" s="1331">
        <f ca="1">IF(M49&gt;10000,M49*0.5%,IF(AND(M49&gt;5000,M49&lt;=10000),M49*1%,IF(AND(M49&gt;1000,M49&lt;=5000),M49*2%,IF(AND(M49&gt;200,M49&lt;=1000),M49*3%,M49*5%))))</f>
        <v>73.239999999999995</v>
      </c>
      <c r="M68" s="302">
        <f ca="1">ROUND(L68,1)</f>
        <v>73.2</v>
      </c>
      <c r="N68" s="2517"/>
      <c r="Z68" s="1751"/>
      <c r="AI68" s="1752"/>
    </row>
    <row r="69" spans="1:35" s="1771" customFormat="1" ht="16.5" customHeight="1">
      <c r="A69" s="1810"/>
      <c r="B69" s="1811"/>
      <c r="C69" s="1812"/>
      <c r="D69" s="1813"/>
      <c r="E69" s="1814"/>
      <c r="F69" s="1577"/>
      <c r="G69" s="1577"/>
      <c r="H69" s="1576"/>
      <c r="I69" s="1746"/>
      <c r="J69" s="3592"/>
      <c r="K69" s="1331" t="s">
        <v>1375</v>
      </c>
      <c r="L69" s="1331"/>
      <c r="M69" s="302">
        <f ca="1">ROUND(SUM(M63:M68),0)</f>
        <v>243</v>
      </c>
      <c r="N69" s="2519">
        <f ca="1">M69/M49</f>
        <v>1.6589295466957945E-2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36" t="s">
        <v>1376</v>
      </c>
      <c r="B70" s="3637"/>
      <c r="C70" s="3637"/>
      <c r="D70" s="3637"/>
      <c r="E70" s="3637"/>
      <c r="F70" s="3637"/>
      <c r="G70" s="3637"/>
      <c r="H70" s="3637"/>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628" t="s">
        <v>1357</v>
      </c>
      <c r="B71" s="3629"/>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13950</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70</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633" t="s">
        <v>1384</v>
      </c>
      <c r="F76" s="3632"/>
      <c r="G76" s="3632"/>
      <c r="H76" s="3635"/>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70</v>
      </c>
      <c r="D78" s="2551">
        <f>'数据-取费表'!B43</f>
        <v>5.000000000000001E-3</v>
      </c>
      <c r="E78" s="3625" t="s">
        <v>1388</v>
      </c>
      <c r="F78" s="3626"/>
      <c r="G78" s="3626"/>
      <c r="H78" s="3627"/>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13880</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198.28571428571428</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8304</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36" t="s">
        <v>1392</v>
      </c>
      <c r="B83" s="3637"/>
      <c r="C83" s="3637"/>
      <c r="D83" s="3637"/>
      <c r="E83" s="3637"/>
      <c r="F83" s="3637"/>
      <c r="G83" s="3637"/>
      <c r="H83" s="3637"/>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628" t="s">
        <v>1357</v>
      </c>
      <c r="B84" s="3629"/>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13950</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70</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594" t="s">
        <v>2110</v>
      </c>
      <c r="H90" s="3595"/>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625" t="s">
        <v>1401</v>
      </c>
      <c r="F91" s="3626"/>
      <c r="G91" s="3626"/>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625" t="s">
        <v>1404</v>
      </c>
      <c r="F92" s="3626"/>
      <c r="G92" s="3626"/>
      <c r="H92" s="3627"/>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70</v>
      </c>
      <c r="D93" s="2551">
        <f>'数据-取费表'!B43</f>
        <v>5.000000000000001E-3</v>
      </c>
      <c r="E93" s="3625" t="s">
        <v>1388</v>
      </c>
      <c r="F93" s="3626"/>
      <c r="G93" s="3626"/>
      <c r="H93" s="3627"/>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670" t="s">
        <v>1408</v>
      </c>
      <c r="F94" s="3671"/>
      <c r="G94" s="3671"/>
      <c r="H94" s="3672"/>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13880</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198.28571428571428</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8304</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74" t="s">
        <v>1410</v>
      </c>
      <c r="B100" s="3575"/>
      <c r="C100" s="3575"/>
      <c r="D100" s="3610"/>
      <c r="E100" s="3575" t="s">
        <v>1411</v>
      </c>
      <c r="F100" s="3575"/>
      <c r="G100" s="3575"/>
      <c r="H100" s="3610"/>
      <c r="I100" s="129"/>
    </row>
    <row r="101" spans="1:35" ht="18.75" customHeight="1">
      <c r="A101" s="3618" t="s">
        <v>1412</v>
      </c>
      <c r="B101" s="3619"/>
      <c r="C101" s="2559" t="str">
        <f>C4</f>
        <v>成本法</v>
      </c>
      <c r="D101" s="2560" t="str">
        <f>D4</f>
        <v>收益法</v>
      </c>
      <c r="E101" s="3588" t="s">
        <v>1413</v>
      </c>
      <c r="F101" s="3589"/>
      <c r="G101" s="1826" t="s">
        <v>1414</v>
      </c>
      <c r="H101" s="2569">
        <f ca="1">H118</f>
        <v>14648</v>
      </c>
      <c r="I101" s="129"/>
    </row>
    <row r="102" spans="1:35" ht="18.75" customHeight="1">
      <c r="A102" s="3620" t="s">
        <v>1415</v>
      </c>
      <c r="B102" s="2558" t="s">
        <v>1414</v>
      </c>
      <c r="C102" s="2559">
        <f ca="1">IF(D32="楼面单价",ROUND(C19,0),C19)</f>
        <v>14025</v>
      </c>
      <c r="D102" s="2560">
        <f ca="1">IF(D32="楼面单价",ROUND(D19,0),D19)</f>
        <v>15271</v>
      </c>
      <c r="E102" s="3588"/>
      <c r="F102" s="3589"/>
      <c r="G102" s="1826" t="s">
        <v>1416</v>
      </c>
      <c r="H102" s="2529">
        <f ca="1">I118</f>
        <v>8342</v>
      </c>
      <c r="I102" s="129"/>
    </row>
    <row r="103" spans="1:35" ht="42.75" customHeight="1">
      <c r="A103" s="3620"/>
      <c r="B103" s="2558" t="s">
        <v>1416</v>
      </c>
      <c r="C103" s="2561">
        <f ca="1">C20</f>
        <v>7987</v>
      </c>
      <c r="D103" s="2562">
        <f ca="1">D20</f>
        <v>8697</v>
      </c>
      <c r="E103" s="3580" t="s">
        <v>1417</v>
      </c>
      <c r="F103" s="3581"/>
      <c r="G103" s="1827" t="s">
        <v>1418</v>
      </c>
      <c r="H103" s="2569">
        <f>IF(D36="正常操作",H104+H105+H106,H105+H106)</f>
        <v>0</v>
      </c>
      <c r="I103" s="129"/>
    </row>
    <row r="104" spans="1:35" ht="18.75" customHeight="1">
      <c r="A104" s="3620" t="s">
        <v>1419</v>
      </c>
      <c r="B104" s="2563" t="s">
        <v>1414</v>
      </c>
      <c r="C104" s="2564">
        <f ca="1">H118</f>
        <v>14648</v>
      </c>
      <c r="D104" s="2565"/>
      <c r="E104" s="1673" t="s">
        <v>1420</v>
      </c>
      <c r="F104" s="1665"/>
      <c r="G104" s="1827" t="s">
        <v>1418</v>
      </c>
      <c r="H104" s="2570">
        <f>IF(D36="同一抵押权人同一抵押物续贷",C36&amp;"（续贷，未扣减，详见特别提示）",C36)</f>
        <v>0</v>
      </c>
      <c r="I104" s="129"/>
    </row>
    <row r="105" spans="1:35" ht="18.75" customHeight="1" thickBot="1">
      <c r="A105" s="3630"/>
      <c r="B105" s="2566" t="s">
        <v>1416</v>
      </c>
      <c r="C105" s="2567">
        <f ca="1">I118</f>
        <v>8342</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21" t="str">
        <f>IF(项目基本情况!E8="已注销","——","3.房地产抵押价值")</f>
        <v>3.房地产抵押价值</v>
      </c>
      <c r="F107" s="3589"/>
      <c r="G107" s="1826" t="s">
        <v>1414</v>
      </c>
      <c r="H107" s="2569">
        <f ca="1">IF(E107="——","——",H101-H103)</f>
        <v>14648</v>
      </c>
      <c r="I107" s="129"/>
    </row>
    <row r="108" spans="1:35" ht="18.75" customHeight="1">
      <c r="A108" s="129"/>
      <c r="B108" s="129"/>
      <c r="C108" s="129"/>
      <c r="D108" s="129"/>
      <c r="E108" s="3621"/>
      <c r="F108" s="3589"/>
      <c r="G108" s="1826" t="s">
        <v>1416</v>
      </c>
      <c r="H108" s="2529">
        <f ca="1">IF(H107=H101,H102,ROUND(H107*10000/'数据-汇总表'!E3,0))</f>
        <v>8342</v>
      </c>
      <c r="I108" s="129"/>
    </row>
    <row r="109" spans="1:35" ht="18.75" customHeight="1">
      <c r="A109" s="129"/>
      <c r="B109" s="129"/>
      <c r="C109" s="129"/>
      <c r="D109" s="129"/>
      <c r="E109" s="3621" t="str">
        <f>IF(项目基本情况!E8="已注销及未注销","4.抵押担保权已注销时的房地产抵押价值",IF(项目基本情况!E8="已注销","3.抵押担保权已注销时的房地产抵押价值","——"))</f>
        <v>——</v>
      </c>
      <c r="F109" s="3589"/>
      <c r="G109" s="1826" t="s">
        <v>1414</v>
      </c>
      <c r="H109" s="2572" t="str">
        <f>IF(E109="——","——",H101-H105-H106)</f>
        <v>——</v>
      </c>
      <c r="I109" s="129"/>
    </row>
    <row r="110" spans="1:35" ht="18.75" customHeight="1">
      <c r="A110" s="129"/>
      <c r="B110" s="129"/>
      <c r="C110" s="129"/>
      <c r="D110" s="129"/>
      <c r="E110" s="3621"/>
      <c r="F110" s="3589"/>
      <c r="G110" s="1826" t="s">
        <v>1416</v>
      </c>
      <c r="H110" s="2529" t="str">
        <f>IF(H109="——","——",ROUND(H109*10000/'数据-汇总表'!E3,0))</f>
        <v>——</v>
      </c>
      <c r="I110" s="129"/>
    </row>
    <row r="111" spans="1:35" ht="18.75" customHeight="1">
      <c r="A111" s="129"/>
      <c r="B111" s="129"/>
      <c r="C111" s="129"/>
      <c r="D111" s="129"/>
      <c r="E111" s="3622" t="str">
        <f>IF(项目基本情况!E9="抵押净值",IF(OR(项目基本情况!E8="已注销",项目基本情况!E8="房地产抵押价值"),"4.抵押净值","5.抵押净值"),"——")</f>
        <v>4.抵押净值</v>
      </c>
      <c r="F111" s="3608"/>
      <c r="G111" s="1826" t="s">
        <v>1414</v>
      </c>
      <c r="H111" s="2569">
        <f ca="1">IF(E111="——","——",N59)</f>
        <v>13176</v>
      </c>
      <c r="I111" s="129"/>
    </row>
    <row r="112" spans="1:35" ht="18.75" customHeight="1" thickBot="1">
      <c r="A112" s="129"/>
      <c r="B112" s="129"/>
      <c r="C112" s="129"/>
      <c r="D112" s="129"/>
      <c r="E112" s="3623"/>
      <c r="F112" s="3624"/>
      <c r="G112" s="1829" t="s">
        <v>1416</v>
      </c>
      <c r="H112" s="2573">
        <f ca="1">IF(E111="——","——",N61)</f>
        <v>7504</v>
      </c>
      <c r="I112" s="129"/>
    </row>
    <row r="113" spans="1:27" ht="18.75" customHeight="1">
      <c r="A113" s="129"/>
      <c r="B113" s="129"/>
      <c r="C113" s="129"/>
      <c r="D113" s="129"/>
      <c r="E113" s="3631" t="s">
        <v>1422</v>
      </c>
      <c r="F113" s="3631"/>
      <c r="G113" s="3631"/>
      <c r="H113" s="3631"/>
      <c r="I113" s="129"/>
    </row>
    <row r="114" spans="1:27" ht="3.75" customHeight="1">
      <c r="A114" s="1746"/>
      <c r="B114" s="1746"/>
      <c r="C114" s="1746"/>
      <c r="D114" s="1746"/>
      <c r="E114" s="1808"/>
      <c r="F114" s="1808"/>
      <c r="G114" s="1808"/>
      <c r="H114" s="1808"/>
      <c r="I114" s="1746"/>
    </row>
    <row r="115" spans="1:27" ht="18.75" customHeight="1">
      <c r="A115" s="3639" t="s">
        <v>1424</v>
      </c>
      <c r="B115" s="3640"/>
      <c r="C115" s="3640"/>
      <c r="D115" s="3640"/>
      <c r="E115" s="3640"/>
      <c r="F115" s="3640"/>
      <c r="G115" s="3640"/>
      <c r="H115" s="3640"/>
      <c r="I115" s="3641"/>
    </row>
    <row r="116" spans="1:27" ht="27" customHeight="1">
      <c r="A116" s="3596" t="s">
        <v>1425</v>
      </c>
      <c r="B116" s="3600" t="s">
        <v>1426</v>
      </c>
      <c r="C116" s="3600" t="s">
        <v>1427</v>
      </c>
      <c r="D116" s="3606" t="s">
        <v>1428</v>
      </c>
      <c r="E116" s="3607"/>
      <c r="F116" s="3638" t="s">
        <v>1429</v>
      </c>
      <c r="G116" s="3638"/>
      <c r="H116" s="3596" t="s">
        <v>1430</v>
      </c>
      <c r="I116" s="3596"/>
    </row>
    <row r="117" spans="1:27" ht="18.75" customHeight="1">
      <c r="A117" s="3596"/>
      <c r="B117" s="3601"/>
      <c r="C117" s="3601"/>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17559.11</v>
      </c>
      <c r="C118" s="2328">
        <f>M19</f>
        <v>15637.42</v>
      </c>
      <c r="D118" s="2328">
        <f ca="1">ROUND(IF(D32="总价",C34,E118*B118/10000),0)</f>
        <v>3530</v>
      </c>
      <c r="E118" s="2328">
        <f ca="1">ROUND(IF(C33="自定义",IF(D32="楼面单价",C34,D118*10000/B118),I118-G118),0)</f>
        <v>2010</v>
      </c>
      <c r="F118" s="2328">
        <f ca="1">ROUND(IF(D32="总价",C35,G118*B118/10000),0)</f>
        <v>11118</v>
      </c>
      <c r="G118" s="2328">
        <f ca="1">ROUND(IF(D32="楼面单价",C35,F118*10000/B118),0)</f>
        <v>6332</v>
      </c>
      <c r="H118" s="2328">
        <f ca="1">ROUND(IF(D32="总价",C32,I118*B118/10000),0)</f>
        <v>14648</v>
      </c>
      <c r="I118" s="2328">
        <f ca="1">ROUND(IF(D32="楼面单价",C32,H118*10000/B118),0)</f>
        <v>8342</v>
      </c>
    </row>
    <row r="119" spans="1:27" ht="18.75" customHeight="1">
      <c r="A119" s="3596" t="s">
        <v>1434</v>
      </c>
      <c r="B119" s="3596"/>
      <c r="C119" s="3596"/>
      <c r="D119" s="3602" t="str">
        <f ca="1">NUMBERSTRING(INT(D118*10000),2)&amp;"元整"</f>
        <v>叁仟伍佰叁拾万元整</v>
      </c>
      <c r="E119" s="3603"/>
      <c r="F119" s="3602" t="str">
        <f ca="1">NUMBERSTRING(INT(F118*10000),2)&amp;"元整"</f>
        <v>壹亿壹仟壹佰壹拾捌万元整</v>
      </c>
      <c r="G119" s="3603"/>
      <c r="H119" s="3602" t="str">
        <f ca="1">NUMBERSTRING(INT(H118*10000),2)&amp;"元整"</f>
        <v>壹亿肆仟陆佰肆拾捌万元整</v>
      </c>
      <c r="I119" s="3603"/>
    </row>
    <row r="120" spans="1:27" ht="18.75" customHeight="1">
      <c r="A120" s="3597" t="str">
        <f>IF(项目基本情况!B9="房地产市场价值","",MID(E103,3,LEN(E103)-2))</f>
        <v>估价师知悉的法定优先受偿款</v>
      </c>
      <c r="B120" s="3598"/>
      <c r="C120" s="3599"/>
      <c r="D120" s="3597">
        <f>H103</f>
        <v>0</v>
      </c>
      <c r="E120" s="3598"/>
      <c r="F120" s="3598"/>
      <c r="G120" s="3598"/>
      <c r="H120" s="3598"/>
      <c r="I120" s="3599"/>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2" t="s">
        <v>1434</v>
      </c>
      <c r="B121" s="3604"/>
      <c r="C121" s="3603"/>
      <c r="D121" s="3602" t="str">
        <f>IF(D120=0,"零元整",NUMBERSTRING(INT(D120*10000),2)&amp;"元整")</f>
        <v>零元整</v>
      </c>
      <c r="E121" s="3604"/>
      <c r="F121" s="3604"/>
      <c r="G121" s="3604"/>
      <c r="H121" s="3604"/>
      <c r="I121" s="3603"/>
      <c r="AA121" s="725"/>
    </row>
    <row r="122" spans="1:27" ht="18.75" customHeight="1">
      <c r="A122" s="3608" t="str">
        <f>IF(项目基本情况!B9="房地产市场价值","",MID(E107,3,LEN(E107)-2))</f>
        <v>房地产抵押价值</v>
      </c>
      <c r="B122" s="3608"/>
      <c r="C122" s="3608"/>
      <c r="D122" s="3597">
        <f ca="1">H107</f>
        <v>14648</v>
      </c>
      <c r="E122" s="3598"/>
      <c r="F122" s="3598"/>
      <c r="G122" s="3598"/>
      <c r="H122" s="3598"/>
      <c r="I122" s="3599"/>
      <c r="AA122" s="725"/>
    </row>
    <row r="123" spans="1:27" ht="18.75" customHeight="1">
      <c r="A123" s="3596" t="s">
        <v>1434</v>
      </c>
      <c r="B123" s="3596"/>
      <c r="C123" s="3596"/>
      <c r="D123" s="3602" t="str">
        <f ca="1">NUMBERSTRING(INT(D122*10000),2)&amp;"元整"</f>
        <v>壹亿肆仟陆佰肆拾捌万元整</v>
      </c>
      <c r="E123" s="3604"/>
      <c r="F123" s="3604"/>
      <c r="G123" s="3604"/>
      <c r="H123" s="3604"/>
      <c r="I123" s="3603"/>
      <c r="AA123" s="725"/>
    </row>
    <row r="124" spans="1:27" ht="18.75" customHeight="1">
      <c r="A124" s="3608" t="str">
        <f>IF(项目基本情况!B9="房地产市场价值","",MID(E109,3,LEN(E109)-2))</f>
        <v/>
      </c>
      <c r="B124" s="3608"/>
      <c r="C124" s="3608"/>
      <c r="D124" s="3597" t="str">
        <f>H109</f>
        <v>——</v>
      </c>
      <c r="E124" s="3598"/>
      <c r="F124" s="3598"/>
      <c r="G124" s="3598"/>
      <c r="H124" s="3598"/>
      <c r="I124" s="3599"/>
      <c r="AA124" s="725"/>
    </row>
    <row r="125" spans="1:27" ht="18.75" customHeight="1">
      <c r="A125" s="3596" t="s">
        <v>1434</v>
      </c>
      <c r="B125" s="3596"/>
      <c r="C125" s="3596"/>
      <c r="D125" s="3602" t="e">
        <f>NUMBERSTRING(INT(D124*10000),2)&amp;"元整"</f>
        <v>#VALUE!</v>
      </c>
      <c r="E125" s="3604"/>
      <c r="F125" s="3604"/>
      <c r="G125" s="3604"/>
      <c r="H125" s="3604"/>
      <c r="I125" s="3603"/>
      <c r="AA125" s="725"/>
    </row>
    <row r="126" spans="1:27" ht="18.75" customHeight="1">
      <c r="A126" s="3608" t="str">
        <f>IF(项目基本情况!B9="房地产市场价值","",MID(E111,3,LEN(E111)-2))</f>
        <v>抵押净值</v>
      </c>
      <c r="B126" s="3608"/>
      <c r="C126" s="3608"/>
      <c r="D126" s="3597">
        <f ca="1">H111</f>
        <v>13176</v>
      </c>
      <c r="E126" s="3598"/>
      <c r="F126" s="3598"/>
      <c r="G126" s="3598"/>
      <c r="H126" s="3598"/>
      <c r="I126" s="3599"/>
      <c r="AA126" s="725"/>
    </row>
    <row r="127" spans="1:27" ht="18.75" customHeight="1">
      <c r="A127" s="3596" t="s">
        <v>1434</v>
      </c>
      <c r="B127" s="3596"/>
      <c r="C127" s="3596"/>
      <c r="D127" s="3602" t="str">
        <f ca="1">NUMBERSTRING(INT(D126*10000),2)&amp;"元整"</f>
        <v>壹亿叁仟壹佰柒拾陆万元整</v>
      </c>
      <c r="E127" s="3604"/>
      <c r="F127" s="3604"/>
      <c r="G127" s="3604"/>
      <c r="H127" s="3604"/>
      <c r="I127" s="3603"/>
      <c r="AA127" s="725"/>
    </row>
    <row r="128" spans="1:27" ht="21.75" customHeight="1">
      <c r="A128" s="3605" t="s">
        <v>1435</v>
      </c>
      <c r="B128" s="3605"/>
      <c r="C128" s="3605"/>
      <c r="D128" s="3605"/>
      <c r="E128" s="3605"/>
      <c r="F128" s="3605"/>
      <c r="G128" s="3605"/>
      <c r="H128" s="3605"/>
      <c r="I128" s="3605"/>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14025</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7987</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2559</v>
      </c>
      <c r="D5" s="211" t="s">
        <v>1451</v>
      </c>
      <c r="E5" s="212" t="s">
        <v>1452</v>
      </c>
      <c r="F5" s="212" t="s">
        <v>1453</v>
      </c>
      <c r="G5" s="213"/>
    </row>
    <row r="6" spans="1:9" s="214" customFormat="1" ht="13.5" customHeight="1">
      <c r="A6" s="778" t="s">
        <v>1454</v>
      </c>
      <c r="B6" s="215" t="s">
        <v>1455</v>
      </c>
      <c r="C6" s="216">
        <f>基准地价修正!B2</f>
        <v>2143</v>
      </c>
      <c r="D6" s="217"/>
      <c r="E6" s="218"/>
      <c r="F6" s="218"/>
      <c r="G6" s="219"/>
    </row>
    <row r="7" spans="1:9" s="214" customFormat="1" ht="13.5" customHeight="1">
      <c r="A7" s="778" t="s">
        <v>1456</v>
      </c>
      <c r="B7" s="215" t="s">
        <v>1457</v>
      </c>
      <c r="C7" s="220">
        <f>ROUND(C6*F7,0)</f>
        <v>65</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351</v>
      </c>
      <c r="D8" s="222"/>
      <c r="E8" s="220"/>
      <c r="F8" s="221"/>
      <c r="G8" s="1855" t="s">
        <v>3622</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351</v>
      </c>
      <c r="D10" s="845">
        <f ca="1">IF(B1="",'数据-汇总表'!E6,IF(INDIRECT("'数据-取费表'!c"&amp;$G$1)="住宅",INDIRECT("'数据-取费表'!s"&amp;$G$1),INDIRECT("'数据-取费表'!k"&amp;$G$1)+INDIRECT("'数据-取费表'!s"&amp;$G$1)))</f>
        <v>17559.11</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17559.11</v>
      </c>
      <c r="E19" s="211">
        <f>'数据-取费表'!B31</f>
        <v>200</v>
      </c>
      <c r="F19" s="231"/>
      <c r="G19" s="1855" t="s">
        <v>3623</v>
      </c>
    </row>
    <row r="20" spans="1:7" s="214" customFormat="1" ht="13.5" customHeight="1">
      <c r="A20" s="255" t="s">
        <v>1475</v>
      </c>
      <c r="B20" s="210" t="s">
        <v>1476</v>
      </c>
      <c r="C20" s="232">
        <f ca="1">ROUND((C5+C19)*F20,0)</f>
        <v>77</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183</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180</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3</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264</v>
      </c>
      <c r="D27" s="235">
        <f ca="1">C29</f>
        <v>3.0000000000000001E-3</v>
      </c>
      <c r="E27" s="236" t="s">
        <v>1496</v>
      </c>
      <c r="F27" s="246">
        <f ca="1">IF(B1="",'数据-取费表'!Q16,INDIRECT("'数据-取费表'!q"&amp;$G$1))</f>
        <v>0.1</v>
      </c>
      <c r="G27" s="247" t="s">
        <v>1497</v>
      </c>
    </row>
    <row r="28" spans="1:7" s="214" customFormat="1" ht="13.5" customHeight="1">
      <c r="A28" s="780" t="s">
        <v>346</v>
      </c>
      <c r="B28" s="248" t="s">
        <v>1498</v>
      </c>
      <c r="C28" s="249">
        <f ca="1">ROUND((C5+C19+C20)*F27*'数据-取费表'!B21/'数据-取费表'!B20,0)</f>
        <v>264</v>
      </c>
      <c r="D28" s="235"/>
      <c r="E28" s="236"/>
      <c r="F28" s="246"/>
      <c r="G28" s="247"/>
    </row>
    <row r="29" spans="1:7" s="214" customFormat="1" ht="13.5" customHeight="1">
      <c r="A29" s="780" t="s">
        <v>347</v>
      </c>
      <c r="B29" s="248" t="s">
        <v>1499</v>
      </c>
      <c r="C29" s="238">
        <f ca="1">ROUND(C21*F27*'数据-取费表'!B21/'数据-取费表'!B20,4)</f>
        <v>3.0000000000000001E-3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3375</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9570</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8780</v>
      </c>
      <c r="D34" s="217"/>
      <c r="E34" s="220"/>
      <c r="F34" s="257">
        <f ca="1">IF('数据-取费表'!B24=0,1,IF(B1="",'数据-取费表'!N16,INDIRECT("'数据-取费表'!n"&amp;$G$1)))</f>
        <v>1</v>
      </c>
      <c r="G34" s="219" t="s">
        <v>1508</v>
      </c>
    </row>
    <row r="35" spans="1:7" ht="13.5" customHeight="1">
      <c r="A35" s="780" t="s">
        <v>351</v>
      </c>
      <c r="B35" s="215" t="s">
        <v>1509</v>
      </c>
      <c r="C35" s="220">
        <f ca="1">ROUND(C34*F35,0)</f>
        <v>263</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351</v>
      </c>
      <c r="D37" s="217">
        <f ca="1">D19</f>
        <v>17559.11</v>
      </c>
      <c r="E37" s="249">
        <f>'数据-取费表'!B35</f>
        <v>200</v>
      </c>
      <c r="F37" s="259"/>
      <c r="G37" s="261" t="s">
        <v>1514</v>
      </c>
    </row>
    <row r="38" spans="1:7" ht="13.5" customHeight="1">
      <c r="A38" s="780" t="s">
        <v>354</v>
      </c>
      <c r="B38" s="215" t="s">
        <v>1515</v>
      </c>
      <c r="C38" s="220">
        <f ca="1">ROUND(C34*F38,0)</f>
        <v>176</v>
      </c>
      <c r="D38" s="220"/>
      <c r="E38" s="220"/>
      <c r="F38" s="259">
        <f>'数据-取费表'!B36</f>
        <v>0.02</v>
      </c>
      <c r="G38" s="219" t="s">
        <v>1510</v>
      </c>
    </row>
    <row r="39" spans="1:7" s="214" customFormat="1" ht="13.5" customHeight="1">
      <c r="A39" s="255" t="s">
        <v>1516</v>
      </c>
      <c r="B39" s="210" t="s">
        <v>1517</v>
      </c>
      <c r="C39" s="232">
        <f ca="1">ROUND(C33*F20,0)</f>
        <v>287</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340</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330</v>
      </c>
      <c r="D42" s="238"/>
      <c r="E42" s="238"/>
      <c r="F42" s="239"/>
      <c r="G42" s="3675" t="s">
        <v>1526</v>
      </c>
    </row>
    <row r="43" spans="1:7" ht="13.5" customHeight="1">
      <c r="A43" s="780" t="s">
        <v>347</v>
      </c>
      <c r="B43" s="215" t="s">
        <v>1527</v>
      </c>
      <c r="C43" s="238">
        <f ca="1">ROUND(IF('数据-取费表'!B22&lt;=1,C39*F22*'数据-取费表'!B21/2,C39*(POWER((1+F22),'数据-取费表'!B21/2)-1)),0)</f>
        <v>10</v>
      </c>
      <c r="D43" s="238"/>
      <c r="E43" s="238"/>
      <c r="F43" s="239"/>
      <c r="G43" s="3676"/>
    </row>
    <row r="44" spans="1:7" ht="13.5" customHeight="1">
      <c r="A44" s="780" t="s">
        <v>348</v>
      </c>
      <c r="B44" s="215" t="s">
        <v>1528</v>
      </c>
      <c r="C44" s="238">
        <f ca="1">ROUND(IF('数据-取费表'!B22&lt;=1,C40*F22*'数据-取费表'!B21/2,C40*(POWER((1+F22),'数据-取费表'!B21/2)-1)),4)</f>
        <v>1E-3</v>
      </c>
      <c r="D44" s="238"/>
      <c r="E44" s="238"/>
      <c r="F44" s="239"/>
      <c r="G44" s="3677"/>
    </row>
    <row r="45" spans="1:7" s="214" customFormat="1" ht="13.5" customHeight="1">
      <c r="A45" s="255" t="s">
        <v>1529</v>
      </c>
      <c r="B45" s="244" t="s">
        <v>1495</v>
      </c>
      <c r="C45" s="245">
        <f ca="1">C46</f>
        <v>986</v>
      </c>
      <c r="D45" s="235">
        <f ca="1">C47</f>
        <v>3.0000000000000001E-3</v>
      </c>
      <c r="E45" s="236" t="s">
        <v>1521</v>
      </c>
      <c r="F45" s="246">
        <f ca="1">F27</f>
        <v>0.1</v>
      </c>
      <c r="G45" s="247" t="s">
        <v>1530</v>
      </c>
    </row>
    <row r="46" spans="1:7" s="214" customFormat="1" ht="13.5" customHeight="1">
      <c r="A46" s="780" t="s">
        <v>346</v>
      </c>
      <c r="B46" s="248" t="s">
        <v>1531</v>
      </c>
      <c r="C46" s="249">
        <f ca="1">ROUND((C33+C39)*F27,0)</f>
        <v>986</v>
      </c>
      <c r="D46" s="263"/>
      <c r="E46" s="236"/>
      <c r="F46" s="246"/>
      <c r="G46" s="247"/>
    </row>
    <row r="47" spans="1:7" s="214" customFormat="1" ht="13.5" customHeight="1">
      <c r="A47" s="780" t="s">
        <v>347</v>
      </c>
      <c r="B47" s="248" t="s">
        <v>1532</v>
      </c>
      <c r="C47" s="238">
        <f ca="1">ROUND(C40*F27,4)</f>
        <v>3.0000000000000001E-3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12241</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10650</v>
      </c>
      <c r="D51" s="232"/>
      <c r="E51" s="232"/>
      <c r="F51" s="264"/>
      <c r="G51" s="234" t="s">
        <v>1542</v>
      </c>
    </row>
    <row r="52" spans="1:7" s="208" customFormat="1" ht="16.5" thickBot="1">
      <c r="A52" s="265" t="s">
        <v>1543</v>
      </c>
      <c r="B52" s="266"/>
      <c r="C52" s="267">
        <f ca="1">C31+C51</f>
        <v>14025</v>
      </c>
      <c r="D52" s="266"/>
      <c r="E52" s="266"/>
      <c r="F52" s="266"/>
      <c r="G52" s="268"/>
    </row>
    <row r="55" spans="1:7" ht="15">
      <c r="B55" s="270" t="s">
        <v>1544</v>
      </c>
      <c r="C55" s="271"/>
    </row>
    <row r="56" spans="1:7">
      <c r="B56" s="273" t="s">
        <v>802</v>
      </c>
      <c r="C56" s="275">
        <f ca="1">1-C57</f>
        <v>0.24099999999999999</v>
      </c>
    </row>
    <row r="57" spans="1:7">
      <c r="B57" s="273" t="s">
        <v>803</v>
      </c>
      <c r="C57" s="274">
        <f ca="1">ROUND(C51/C52,3)</f>
        <v>0.75900000000000001</v>
      </c>
    </row>
  </sheetData>
  <sheetProtection password="CEE9" sheet="1" objects="1" scenarios="1" formatCells="0"/>
  <mergeCells count="1">
    <mergeCell ref="G42:G44"/>
  </mergeCells>
  <phoneticPr fontId="133" type="noConversion"/>
  <dataValidations disablePrompts="1"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8">
        <f ca="1">ROUND(IF(D2="——",C52/10000,C52/10000-E2),4)</f>
        <v>11574.672699999999</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6592</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3511822</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3511822</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3511822</v>
      </c>
      <c r="D10" s="845">
        <f ca="1">IF(B1="",'数据-汇总表'!E6,IF(INDIRECT("'数据-取费表'!c"&amp;$G$1)="住宅",INDIRECT("'数据-取费表'!s"&amp;$G$1),INDIRECT("'数据-取费表'!k"&amp;$G$1)+INDIRECT("'数据-取费表'!s"&amp;$G$1)))</f>
        <v>17559.11</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3511822</v>
      </c>
      <c r="D19" s="849">
        <f ca="1">D9+D10</f>
        <v>17559.11</v>
      </c>
      <c r="E19" s="211">
        <f>'数据-取费表'!B31</f>
        <v>200</v>
      </c>
      <c r="F19" s="231"/>
      <c r="G19" s="1855"/>
    </row>
    <row r="20" spans="1:7" s="214" customFormat="1" ht="13.5" customHeight="1">
      <c r="A20" s="255" t="s">
        <v>1556</v>
      </c>
      <c r="B20" s="210" t="s">
        <v>1557</v>
      </c>
      <c r="C20" s="232">
        <f ca="1">ROUND((C5+C19)*F20,0)</f>
        <v>210709</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500261</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246496</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246496</v>
      </c>
      <c r="D24" s="238"/>
      <c r="E24" s="238"/>
      <c r="F24" s="239"/>
      <c r="G24" s="240" t="s">
        <v>1568</v>
      </c>
    </row>
    <row r="25" spans="1:7" s="214" customFormat="1" ht="24">
      <c r="A25" s="780" t="s">
        <v>1458</v>
      </c>
      <c r="B25" s="215" t="s">
        <v>1569</v>
      </c>
      <c r="C25" s="1128">
        <f ca="1">ROUND(IF('数据-取费表'!B22&lt;=1,C20*F22*'数据-取费表'!B22/2,C20*(POWER((1+F22),'数据-取费表'!B22/2)-1)),0)</f>
        <v>7269</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723435</v>
      </c>
      <c r="D27" s="235">
        <f ca="1">C29</f>
        <v>3.0000000000000001E-3</v>
      </c>
      <c r="E27" s="236" t="s">
        <v>1496</v>
      </c>
      <c r="F27" s="246">
        <f ca="1">IF(B1="",'数据-取费表'!Q16,INDIRECT("'数据-取费表'!q"&amp;$G$1))</f>
        <v>0.1</v>
      </c>
      <c r="G27" s="247" t="s">
        <v>1497</v>
      </c>
    </row>
    <row r="28" spans="1:7" s="214" customFormat="1" ht="13.5" customHeight="1">
      <c r="A28" s="780" t="s">
        <v>346</v>
      </c>
      <c r="B28" s="248" t="s">
        <v>1498</v>
      </c>
      <c r="C28" s="249">
        <f ca="1">ROUND((C5+C19+C20)*F27,0)</f>
        <v>723435</v>
      </c>
      <c r="D28" s="235"/>
      <c r="E28" s="236"/>
      <c r="F28" s="246"/>
      <c r="G28" s="247"/>
    </row>
    <row r="29" spans="1:7" s="214" customFormat="1" ht="13.5" customHeight="1">
      <c r="A29" s="780" t="s">
        <v>347</v>
      </c>
      <c r="B29" s="248" t="s">
        <v>1499</v>
      </c>
      <c r="C29" s="238">
        <f ca="1">ROUND(C21*F27,4)</f>
        <v>3.0000000000000001E-3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9257935</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95697150</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87795550</v>
      </c>
      <c r="D34" s="217"/>
      <c r="E34" s="220"/>
      <c r="F34" s="257"/>
      <c r="G34" s="219"/>
    </row>
    <row r="35" spans="1:7" ht="13.5" customHeight="1">
      <c r="A35" s="780" t="s">
        <v>351</v>
      </c>
      <c r="B35" s="215" t="s">
        <v>1509</v>
      </c>
      <c r="C35" s="220">
        <f ca="1">ROUND(C34*F35,0)</f>
        <v>2633867</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3511822</v>
      </c>
      <c r="D37" s="217">
        <f ca="1">D19</f>
        <v>17559.11</v>
      </c>
      <c r="E37" s="249">
        <f>'数据-取费表'!B35</f>
        <v>200</v>
      </c>
      <c r="F37" s="259"/>
      <c r="G37" s="261"/>
    </row>
    <row r="38" spans="1:7" ht="13.5" customHeight="1">
      <c r="A38" s="780" t="s">
        <v>354</v>
      </c>
      <c r="B38" s="215" t="s">
        <v>1515</v>
      </c>
      <c r="C38" s="220">
        <f ca="1">ROUND(C34*F38,0)</f>
        <v>1755911</v>
      </c>
      <c r="D38" s="220"/>
      <c r="E38" s="220"/>
      <c r="F38" s="259">
        <f>'数据-取费表'!B36</f>
        <v>0.02</v>
      </c>
      <c r="G38" s="219" t="s">
        <v>1510</v>
      </c>
    </row>
    <row r="39" spans="1:7" s="214" customFormat="1" ht="13.5" customHeight="1">
      <c r="A39" s="255" t="s">
        <v>1516</v>
      </c>
      <c r="B39" s="210" t="s">
        <v>1517</v>
      </c>
      <c r="C39" s="232">
        <f ca="1">ROUND(C33*F20,0)</f>
        <v>2870915</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3400599</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3301552</v>
      </c>
      <c r="D42" s="238"/>
      <c r="E42" s="238"/>
      <c r="F42" s="239"/>
      <c r="G42" s="3675" t="s">
        <v>1573</v>
      </c>
    </row>
    <row r="43" spans="1:7" ht="13.5" customHeight="1">
      <c r="A43" s="780" t="s">
        <v>347</v>
      </c>
      <c r="B43" s="215" t="s">
        <v>1527</v>
      </c>
      <c r="C43" s="238">
        <f ca="1">ROUND(IF('数据-取费表'!B22&lt;=1,C39*F22*'数据-取费表'!B20/2,C39*(POWER((1+F22),'数据-取费表'!B20/2)-1)),0)</f>
        <v>99047</v>
      </c>
      <c r="D43" s="238"/>
      <c r="E43" s="238"/>
      <c r="F43" s="239"/>
      <c r="G43" s="3676"/>
    </row>
    <row r="44" spans="1:7" ht="13.5" customHeight="1">
      <c r="A44" s="780" t="s">
        <v>348</v>
      </c>
      <c r="B44" s="215" t="s">
        <v>1528</v>
      </c>
      <c r="C44" s="238">
        <f ca="1">ROUND(IF('数据-取费表'!B22&lt;=1,C40*F22*'数据-取费表'!B20/2,C40*(POWER((1+F22),'数据-取费表'!B20/2)-1)),4)</f>
        <v>1E-3</v>
      </c>
      <c r="D44" s="238"/>
      <c r="E44" s="238"/>
      <c r="F44" s="239"/>
      <c r="G44" s="3677"/>
    </row>
    <row r="45" spans="1:7" s="214" customFormat="1" ht="13.5" customHeight="1">
      <c r="A45" s="255" t="s">
        <v>1529</v>
      </c>
      <c r="B45" s="244" t="s">
        <v>1495</v>
      </c>
      <c r="C45" s="245">
        <f ca="1">C46</f>
        <v>9856807</v>
      </c>
      <c r="D45" s="235">
        <f ca="1">C47</f>
        <v>3.0000000000000001E-3</v>
      </c>
      <c r="E45" s="236" t="s">
        <v>1521</v>
      </c>
      <c r="F45" s="246">
        <f ca="1">F27</f>
        <v>0.1</v>
      </c>
      <c r="G45" s="247" t="s">
        <v>1530</v>
      </c>
    </row>
    <row r="46" spans="1:7" s="214" customFormat="1" ht="13.5" customHeight="1">
      <c r="A46" s="780" t="s">
        <v>346</v>
      </c>
      <c r="B46" s="248" t="s">
        <v>1531</v>
      </c>
      <c r="C46" s="249">
        <f ca="1">ROUND((C33+C39)*F27,0)</f>
        <v>9856807</v>
      </c>
      <c r="D46" s="263"/>
      <c r="E46" s="236"/>
      <c r="F46" s="246"/>
      <c r="G46" s="247"/>
    </row>
    <row r="47" spans="1:7" s="214" customFormat="1" ht="13.5" customHeight="1">
      <c r="A47" s="780" t="s">
        <v>347</v>
      </c>
      <c r="B47" s="248" t="s">
        <v>1532</v>
      </c>
      <c r="C47" s="238">
        <f ca="1">ROUND(C40*F27,4)</f>
        <v>3.0000000000000001E-3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122400910</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106488792</v>
      </c>
      <c r="D51" s="232"/>
      <c r="E51" s="232"/>
      <c r="F51" s="264"/>
      <c r="G51" s="234" t="s">
        <v>1542</v>
      </c>
    </row>
    <row r="52" spans="1:7" s="208" customFormat="1" ht="16.5" thickBot="1">
      <c r="A52" s="265" t="s">
        <v>1543</v>
      </c>
      <c r="B52" s="266"/>
      <c r="C52" s="267">
        <f ca="1">C31+C51</f>
        <v>115746727</v>
      </c>
      <c r="D52" s="266"/>
      <c r="E52" s="266"/>
      <c r="F52" s="266"/>
      <c r="G52" s="268"/>
    </row>
    <row r="55" spans="1:7" ht="15">
      <c r="B55" s="270" t="s">
        <v>1544</v>
      </c>
      <c r="C55" s="271"/>
    </row>
    <row r="56" spans="1:7">
      <c r="B56" s="273" t="s">
        <v>802</v>
      </c>
      <c r="C56" s="275">
        <f ca="1">1-C57</f>
        <v>7.999999999999996E-2</v>
      </c>
    </row>
    <row r="57" spans="1:7">
      <c r="B57" s="273" t="s">
        <v>803</v>
      </c>
      <c r="C57" s="274">
        <f ca="1">ROUND(C51/C52,3)</f>
        <v>0.92</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17559.11</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17559.11</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351</v>
      </c>
      <c r="D20" s="846">
        <f ca="1">IF(C1="",'数据-汇总表'!E6,IF(INDIRECT("'数据-取费表'!c"&amp;$K$1)="住宅",INDIRECT("'数据-取费表'!s"&amp;$K$1),INDIRECT("'数据-取费表'!k"&amp;$K$1)+INDIRECT("'数据-取费表'!s"&amp;$K$1)))</f>
        <v>17559.11</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9"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78" t="s">
        <v>694</v>
      </c>
      <c r="C6" s="1074">
        <f ca="1">ROUND(F6*F8*F7*(1-F9),0)</f>
        <v>0</v>
      </c>
      <c r="D6" s="155" t="s">
        <v>2087</v>
      </c>
      <c r="E6" s="302" t="s">
        <v>696</v>
      </c>
      <c r="F6" s="303">
        <f ca="1">INDIRECT("'数据-取费表'!u"&amp;$G$1)</f>
        <v>0</v>
      </c>
      <c r="G6" s="1383"/>
      <c r="H6" s="1069" t="s">
        <v>398</v>
      </c>
      <c r="I6" s="3678" t="s">
        <v>694</v>
      </c>
      <c r="J6" s="301">
        <f ca="1">ROUND(M6*M8*M7*(1-M9),0)</f>
        <v>0</v>
      </c>
      <c r="K6" s="1375" t="s">
        <v>2088</v>
      </c>
      <c r="L6" s="302" t="s">
        <v>696</v>
      </c>
      <c r="M6" s="303">
        <f ca="1">INDIRECT("'数据-取费表'!z"&amp;$G$1)</f>
        <v>0</v>
      </c>
    </row>
    <row r="7" spans="1:37" ht="18" customHeight="1">
      <c r="A7" s="1073"/>
      <c r="B7" s="3679"/>
      <c r="C7" s="1075"/>
      <c r="D7" s="307"/>
      <c r="E7" s="1076" t="s">
        <v>697</v>
      </c>
      <c r="F7" s="303">
        <f ca="1">IF(INDIRECT("'数据-取费表'!ah"&amp;$G$1)="",INDIRECT("'数据-取费表'!k"&amp;$G$1),INDIRECT("'数据-取费表'!ah"&amp;$G$1))</f>
        <v>0</v>
      </c>
      <c r="G7" s="1383"/>
      <c r="H7" s="304"/>
      <c r="I7" s="3679"/>
      <c r="J7" s="306"/>
      <c r="K7" s="307"/>
      <c r="L7" s="302" t="s">
        <v>697</v>
      </c>
      <c r="M7" s="303">
        <f ca="1">F7</f>
        <v>0</v>
      </c>
    </row>
    <row r="8" spans="1:37" ht="18" customHeight="1">
      <c r="A8" s="304"/>
      <c r="B8" s="3679"/>
      <c r="C8" s="306"/>
      <c r="D8" s="307"/>
      <c r="E8" s="302" t="s">
        <v>698</v>
      </c>
      <c r="F8" s="303">
        <f ca="1">INDIRECT("'数据-取费表'!ai"&amp;$G$1)</f>
        <v>0</v>
      </c>
      <c r="G8" s="1383"/>
      <c r="H8" s="304"/>
      <c r="I8" s="3679"/>
      <c r="J8" s="306"/>
      <c r="K8" s="307"/>
      <c r="L8" s="302" t="s">
        <v>698</v>
      </c>
      <c r="M8" s="303">
        <f ca="1">INDIRECT("'数据-取费表'!ai"&amp;$G$1)</f>
        <v>0</v>
      </c>
    </row>
    <row r="9" spans="1:37" ht="18" customHeight="1">
      <c r="A9" s="304"/>
      <c r="B9" s="3680"/>
      <c r="C9" s="306"/>
      <c r="D9" s="307"/>
      <c r="E9" s="302" t="s">
        <v>699</v>
      </c>
      <c r="F9" s="312">
        <f ca="1">INDIRECT("'数据-取费表'!w"&amp;$G$1)</f>
        <v>0</v>
      </c>
      <c r="G9" s="1383"/>
      <c r="H9" s="304"/>
      <c r="I9" s="3680"/>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5" t="s">
        <v>3327</v>
      </c>
      <c r="B45" s="1399"/>
      <c r="C45" s="1471" t="e">
        <f ca="1">ROUND((C68-C40)/10000,4)</f>
        <v>#DIV/0!</v>
      </c>
      <c r="D45" s="3406"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81" t="s">
        <v>837</v>
      </c>
      <c r="L53" s="3682"/>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6" customWidth="1"/>
    <col min="2" max="2" width="8.875" style="2816"/>
    <col min="3" max="5" width="12.875" style="2816" customWidth="1"/>
    <col min="6" max="6" width="47.5" style="2816" customWidth="1"/>
    <col min="7" max="7" width="13" style="2975" customWidth="1"/>
    <col min="8" max="8" width="8.875" style="2810"/>
    <col min="9" max="9" width="8.875" style="2811"/>
    <col min="10" max="10" width="5.75" style="2976" customWidth="1"/>
    <col min="11" max="11" width="11.75" style="2976" customWidth="1"/>
    <col min="12" max="13" width="10.75" style="2976" customWidth="1"/>
    <col min="14" max="14" width="10" style="2976" customWidth="1"/>
    <col min="15" max="16" width="10.5" style="2976" bestFit="1" customWidth="1"/>
    <col min="17" max="17" width="10" style="2976" customWidth="1"/>
    <col min="18" max="18" width="10.125" style="2976" customWidth="1"/>
    <col min="19" max="19" width="10" style="2976" customWidth="1"/>
    <col min="20" max="20" width="26.125" style="2976" customWidth="1"/>
    <col min="21" max="21" width="8.875" style="2976"/>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2411</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t="e">
        <f>IF(D2="——",C40,C40+E2)</f>
        <v>#DIV/0!</v>
      </c>
      <c r="C2" s="2818" t="s">
        <v>2292</v>
      </c>
      <c r="D2" s="3417" t="s">
        <v>3334</v>
      </c>
      <c r="E2" s="3418"/>
      <c r="F2" s="2820"/>
      <c r="G2" s="2821"/>
      <c r="H2" s="2822"/>
      <c r="I2" s="2823"/>
      <c r="J2" s="3683" t="s">
        <v>2293</v>
      </c>
      <c r="K2" s="3684"/>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t="e">
        <f>ROUND(B2*10000/B4,0)</f>
        <v>#DIV/0!</v>
      </c>
      <c r="C3" s="2818" t="s">
        <v>2302</v>
      </c>
      <c r="D3" s="2818"/>
      <c r="E3" s="2819"/>
      <c r="F3" s="2820"/>
      <c r="G3" s="2821"/>
      <c r="H3" s="2822"/>
      <c r="I3" s="2823"/>
      <c r="J3" s="3685" t="s">
        <v>2303</v>
      </c>
      <c r="K3" s="3686"/>
      <c r="L3" s="2830"/>
      <c r="M3" s="2830"/>
      <c r="N3" s="2830"/>
      <c r="O3" s="2830"/>
      <c r="P3" s="2830"/>
      <c r="Q3" s="2831"/>
      <c r="R3" s="2832">
        <f>SUM(L3:Q3)</f>
        <v>0</v>
      </c>
      <c r="S3" s="2815"/>
      <c r="T3" s="2815"/>
      <c r="U3" s="2815"/>
      <c r="V3" s="2823"/>
    </row>
    <row r="4" spans="1:22" s="2827" customFormat="1" ht="13.15" customHeight="1">
      <c r="A4" s="2833" t="s">
        <v>2304</v>
      </c>
      <c r="B4" s="2834"/>
      <c r="C4" s="2818"/>
      <c r="D4" s="2818"/>
      <c r="E4" s="2819"/>
      <c r="F4" s="2820"/>
      <c r="G4" s="2821"/>
      <c r="H4" s="2822"/>
      <c r="I4" s="2823"/>
      <c r="J4" s="3685" t="s">
        <v>2305</v>
      </c>
      <c r="K4" s="3686"/>
      <c r="L4" s="2835"/>
      <c r="M4" s="2835"/>
      <c r="N4" s="2835"/>
      <c r="O4" s="2835"/>
      <c r="P4" s="2835"/>
      <c r="Q4" s="2836"/>
      <c r="R4" s="2837">
        <f>SUM(L4:Q4)</f>
        <v>0</v>
      </c>
      <c r="S4" s="2815"/>
      <c r="T4" s="2815"/>
      <c r="U4" s="2815"/>
      <c r="V4" s="2823"/>
    </row>
    <row r="5" spans="1:22" s="2827" customFormat="1" ht="13.15" customHeight="1" thickBot="1">
      <c r="A5" s="2838" t="s">
        <v>2306</v>
      </c>
      <c r="B5" s="2839"/>
      <c r="C5" s="2818"/>
      <c r="D5" s="2840"/>
      <c r="E5" s="2820"/>
      <c r="F5" s="2820"/>
      <c r="G5" s="2821"/>
      <c r="H5" s="2822"/>
      <c r="I5" s="2823"/>
      <c r="J5" s="2841" t="s">
        <v>2307</v>
      </c>
      <c r="K5" s="2842"/>
      <c r="L5" s="2842"/>
      <c r="M5" s="2843"/>
      <c r="N5" s="2843"/>
      <c r="O5" s="2843"/>
      <c r="P5" s="2843"/>
      <c r="Q5" s="2843"/>
      <c r="R5" s="2826">
        <f>SUM(R14,R19,R24,R25,R27,R28)</f>
        <v>0</v>
      </c>
      <c r="S5" s="2815"/>
      <c r="T5" s="2815" t="s">
        <v>2308</v>
      </c>
      <c r="U5" s="2815" t="e">
        <f>ROUND(R5*10000/365/R3,1)</f>
        <v>#DIV/0!</v>
      </c>
      <c r="V5" s="2823"/>
    </row>
    <row r="6" spans="1:22" s="2827" customFormat="1" ht="13.15" customHeight="1" thickBot="1">
      <c r="A6" s="3687" t="s">
        <v>2309</v>
      </c>
      <c r="B6" s="3688"/>
      <c r="C6" s="3689"/>
      <c r="D6" s="2844"/>
      <c r="E6" s="2845"/>
      <c r="F6" s="2846"/>
      <c r="G6" s="2847"/>
      <c r="H6" s="2822"/>
      <c r="I6" s="2823"/>
      <c r="J6" s="3690">
        <v>1</v>
      </c>
      <c r="K6" s="3691"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SUM(D9,D10,D11,D17,0)</f>
        <v>0</v>
      </c>
      <c r="E7" s="2854" t="e">
        <f>E9+E10+E11+E17</f>
        <v>#DIV/0!</v>
      </c>
      <c r="F7" s="2855"/>
      <c r="G7" s="2856"/>
      <c r="H7" s="2822"/>
      <c r="I7" s="2823"/>
      <c r="J7" s="3690"/>
      <c r="K7" s="3692"/>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694" t="s">
        <v>2323</v>
      </c>
      <c r="C8" s="3695"/>
      <c r="D8" s="2863" t="s">
        <v>2324</v>
      </c>
      <c r="E8" s="2864" t="s">
        <v>2325</v>
      </c>
      <c r="F8" s="2865" t="s">
        <v>2326</v>
      </c>
      <c r="G8" s="2866"/>
      <c r="H8" s="2822"/>
      <c r="I8" s="2823"/>
      <c r="J8" s="3690"/>
      <c r="K8" s="3692"/>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694" t="s">
        <v>2329</v>
      </c>
      <c r="C9" s="3695"/>
      <c r="D9" s="2863">
        <f>ROUND(D6*E9,0)</f>
        <v>0</v>
      </c>
      <c r="E9" s="2867"/>
      <c r="F9" s="2868" t="s">
        <v>2330</v>
      </c>
      <c r="G9" s="2847"/>
      <c r="H9" s="2822"/>
      <c r="I9" s="2823"/>
      <c r="J9" s="3690"/>
      <c r="K9" s="3692"/>
      <c r="L9" s="2857" t="s">
        <v>2331</v>
      </c>
      <c r="M9" s="2858"/>
      <c r="N9" s="2834"/>
      <c r="O9" s="2859"/>
      <c r="P9" s="2859"/>
      <c r="Q9" s="2860">
        <v>365</v>
      </c>
      <c r="R9" s="2861">
        <f t="shared" si="0"/>
        <v>0</v>
      </c>
      <c r="S9" s="2815"/>
      <c r="T9" s="2815"/>
      <c r="U9" s="2815"/>
      <c r="V9" s="2823"/>
    </row>
    <row r="10" spans="1:22" s="2827" customFormat="1" ht="13.15" customHeight="1">
      <c r="A10" s="2862">
        <v>2</v>
      </c>
      <c r="B10" s="3694" t="s">
        <v>2332</v>
      </c>
      <c r="C10" s="3695"/>
      <c r="D10" s="2863">
        <f>ROUND(D6*E10,0)</f>
        <v>0</v>
      </c>
      <c r="E10" s="2867"/>
      <c r="F10" s="2868" t="s">
        <v>2333</v>
      </c>
      <c r="G10" s="2847"/>
      <c r="H10" s="2822"/>
      <c r="I10" s="2823"/>
      <c r="J10" s="3690"/>
      <c r="K10" s="3692"/>
      <c r="L10" s="2857" t="s">
        <v>2334</v>
      </c>
      <c r="M10" s="2858"/>
      <c r="N10" s="2834"/>
      <c r="O10" s="2859"/>
      <c r="P10" s="2859"/>
      <c r="Q10" s="2860">
        <v>365</v>
      </c>
      <c r="R10" s="2861">
        <f t="shared" si="0"/>
        <v>0</v>
      </c>
      <c r="S10" s="2815"/>
      <c r="T10" s="2815"/>
      <c r="U10" s="2815"/>
      <c r="V10" s="2823"/>
    </row>
    <row r="11" spans="1:22" s="2827" customFormat="1" ht="13.15" customHeight="1">
      <c r="A11" s="2862">
        <v>3</v>
      </c>
      <c r="B11" s="3694" t="s">
        <v>2335</v>
      </c>
      <c r="C11" s="3695"/>
      <c r="D11" s="2863">
        <f>D12+D14+D15+D16</f>
        <v>0</v>
      </c>
      <c r="E11" s="2869" t="e">
        <f>D11/D6</f>
        <v>#DIV/0!</v>
      </c>
      <c r="F11" s="2865"/>
      <c r="G11" s="2866"/>
      <c r="H11" s="2822"/>
      <c r="I11" s="2823"/>
      <c r="J11" s="3690"/>
      <c r="K11" s="3692"/>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696" t="s">
        <v>2338</v>
      </c>
      <c r="C12" s="3697"/>
      <c r="D12" s="2871">
        <f>ROUND(D13*1.2%*(1-30%),0)</f>
        <v>0</v>
      </c>
      <c r="E12" s="2872">
        <v>1.2E-2</v>
      </c>
      <c r="F12" s="2865" t="s">
        <v>2339</v>
      </c>
      <c r="G12" s="2866"/>
      <c r="H12" s="2822"/>
      <c r="I12" s="2823"/>
      <c r="J12" s="3690"/>
      <c r="K12" s="3692"/>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c r="E13" s="2876"/>
      <c r="F13" s="2865"/>
      <c r="G13" s="2866"/>
      <c r="H13" s="2822"/>
      <c r="I13" s="2823"/>
      <c r="J13" s="3690"/>
      <c r="K13" s="3692"/>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696" t="s">
        <v>2344</v>
      </c>
      <c r="C14" s="3697"/>
      <c r="D14" s="2871">
        <f>ROUND(E14*B5/10000,0)</f>
        <v>0</v>
      </c>
      <c r="E14" s="2860"/>
      <c r="F14" s="2865" t="s">
        <v>2345</v>
      </c>
      <c r="G14" s="2866"/>
      <c r="H14" s="2822"/>
      <c r="I14" s="2823"/>
      <c r="J14" s="3690"/>
      <c r="K14" s="3693"/>
      <c r="L14" s="2877" t="s">
        <v>2346</v>
      </c>
      <c r="M14" s="2878">
        <f>SUM(M7:M13)</f>
        <v>0</v>
      </c>
      <c r="N14" s="2878" t="e">
        <f>ROUND((N7*M7+N8*M8+N9*M9+N10*M10+N11*M11+N12*M12+N13*M13)/M14,0)</f>
        <v>#DIV/0!</v>
      </c>
      <c r="O14" s="2879"/>
      <c r="P14" s="2879"/>
      <c r="Q14" s="2880"/>
      <c r="R14" s="2826">
        <f>SUM(R7:R13)</f>
        <v>0</v>
      </c>
      <c r="S14" s="2815"/>
      <c r="T14" s="2815"/>
      <c r="U14" s="2815"/>
      <c r="V14" s="2823"/>
    </row>
    <row r="15" spans="1:22" s="2827" customFormat="1" ht="13.15" customHeight="1">
      <c r="A15" s="2870" t="s">
        <v>2347</v>
      </c>
      <c r="B15" s="3696" t="s">
        <v>2348</v>
      </c>
      <c r="C15" s="3697"/>
      <c r="D15" s="2871">
        <f>ROUND(D6*E15,0)</f>
        <v>0</v>
      </c>
      <c r="E15" s="2872">
        <v>5.5E-2</v>
      </c>
      <c r="F15" s="2865" t="s">
        <v>2349</v>
      </c>
      <c r="G15" s="2847"/>
      <c r="H15" s="2822"/>
      <c r="I15" s="2823"/>
      <c r="J15" s="3690">
        <v>2</v>
      </c>
      <c r="K15" s="3691"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696" t="s">
        <v>2357</v>
      </c>
      <c r="C16" s="3697"/>
      <c r="D16" s="2882">
        <f>D6*E16</f>
        <v>0</v>
      </c>
      <c r="E16" s="2883"/>
      <c r="F16" s="2868" t="s">
        <v>2358</v>
      </c>
      <c r="G16" s="2847"/>
      <c r="H16" s="2822"/>
      <c r="I16" s="2823"/>
      <c r="J16" s="3690"/>
      <c r="K16" s="3692"/>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698" t="s">
        <v>2360</v>
      </c>
      <c r="C17" s="3699"/>
      <c r="D17" s="2885">
        <f>ROUND(D6*E17,0)</f>
        <v>0</v>
      </c>
      <c r="E17" s="2886"/>
      <c r="F17" s="2887" t="s">
        <v>2361</v>
      </c>
      <c r="G17" s="2847"/>
      <c r="H17" s="2822"/>
      <c r="I17" s="2823"/>
      <c r="J17" s="3690"/>
      <c r="K17" s="3692"/>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0</v>
      </c>
      <c r="E18" s="2889"/>
      <c r="F18" s="2890" t="s">
        <v>2364</v>
      </c>
      <c r="G18" s="2847"/>
      <c r="H18" s="2822"/>
      <c r="I18" s="2823"/>
      <c r="J18" s="3690"/>
      <c r="K18" s="3692"/>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690"/>
      <c r="K19" s="3693"/>
      <c r="L19" s="2877" t="s">
        <v>2346</v>
      </c>
      <c r="M19" s="2878"/>
      <c r="N19" s="2878">
        <f>SUM(N16:N18)</f>
        <v>0</v>
      </c>
      <c r="O19" s="2879"/>
      <c r="P19" s="2892" t="s">
        <v>2410</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690">
        <v>3</v>
      </c>
      <c r="K20" s="3691"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690"/>
      <c r="K21" s="3692"/>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1" t="s">
        <v>2379</v>
      </c>
      <c r="D22" s="2902" t="s">
        <v>2380</v>
      </c>
      <c r="E22" s="2903" t="s">
        <v>2381</v>
      </c>
      <c r="F22" s="2894"/>
      <c r="G22" s="2904"/>
      <c r="H22" s="2822"/>
      <c r="I22" s="2823"/>
      <c r="J22" s="3690"/>
      <c r="K22" s="3692"/>
      <c r="L22" s="2857" t="s">
        <v>2382</v>
      </c>
      <c r="M22" s="2858"/>
      <c r="N22" s="2858"/>
      <c r="O22" s="2859"/>
      <c r="P22" s="2860">
        <v>365</v>
      </c>
      <c r="Q22" s="2834"/>
      <c r="R22" s="2900">
        <f>ROUND(M22*N22*O22*P22/10000,0)</f>
        <v>0</v>
      </c>
      <c r="S22" s="2896"/>
      <c r="T22" s="2896"/>
      <c r="U22" s="2896"/>
      <c r="V22" s="2823"/>
    </row>
    <row r="23" spans="1:22" s="2827" customFormat="1" ht="13.15" customHeight="1">
      <c r="A23" s="2905">
        <v>1</v>
      </c>
      <c r="B23" s="2906" t="s">
        <v>2383</v>
      </c>
      <c r="C23" s="2907">
        <f>D6</f>
        <v>0</v>
      </c>
      <c r="D23" s="2908">
        <f>C23*(1+D24)</f>
        <v>0</v>
      </c>
      <c r="E23" s="2909">
        <f>D23*(1+E24)</f>
        <v>0</v>
      </c>
      <c r="F23" s="2910"/>
      <c r="G23" s="2911"/>
      <c r="H23" s="2822"/>
      <c r="I23" s="2823"/>
      <c r="J23" s="3690"/>
      <c r="K23" s="3692"/>
      <c r="L23" s="2857" t="s">
        <v>2384</v>
      </c>
      <c r="M23" s="2858"/>
      <c r="N23" s="2858"/>
      <c r="O23" s="2859"/>
      <c r="P23" s="2860">
        <v>365</v>
      </c>
      <c r="Q23" s="2834"/>
      <c r="R23" s="2900">
        <f>ROUND(M23*N23*O23*P23/10000,0)</f>
        <v>0</v>
      </c>
      <c r="S23" s="2815"/>
      <c r="T23" s="2815"/>
      <c r="U23" s="2815"/>
      <c r="V23" s="2823"/>
    </row>
    <row r="24" spans="1:22" s="2827" customFormat="1" ht="13.15" customHeight="1">
      <c r="A24" s="2912"/>
      <c r="B24" s="2913" t="s">
        <v>2385</v>
      </c>
      <c r="C24" s="2914"/>
      <c r="D24" s="2915"/>
      <c r="E24" s="2916"/>
      <c r="F24" s="2917"/>
      <c r="G24" s="2911"/>
      <c r="H24" s="2822"/>
      <c r="I24" s="2823"/>
      <c r="J24" s="3690"/>
      <c r="K24" s="3693"/>
      <c r="L24" s="2877" t="s">
        <v>2346</v>
      </c>
      <c r="M24" s="2878">
        <f>SUM(M21:M23)</f>
        <v>0</v>
      </c>
      <c r="N24" s="2878"/>
      <c r="O24" s="2879"/>
      <c r="P24" s="2892" t="s">
        <v>2410</v>
      </c>
      <c r="Q24" s="2859">
        <v>0</v>
      </c>
      <c r="R24" s="2893">
        <f>ROUND(IF(P24="按比例",R14*Q24,SUM(R21:R23)),0)</f>
        <v>0</v>
      </c>
      <c r="S24" s="2815"/>
      <c r="T24" s="2815"/>
      <c r="U24" s="2815"/>
      <c r="V24" s="2823"/>
    </row>
    <row r="25" spans="1:22" s="2924" customFormat="1" ht="13.15" customHeight="1">
      <c r="A25" s="2912"/>
      <c r="B25" s="2913"/>
      <c r="C25" s="2914"/>
      <c r="D25" s="2915"/>
      <c r="E25" s="2916"/>
      <c r="F25" s="2917"/>
      <c r="G25" s="2904"/>
      <c r="H25" s="2822"/>
      <c r="I25" s="2823"/>
      <c r="J25" s="2918">
        <v>4</v>
      </c>
      <c r="K25" s="2919" t="s">
        <v>2386</v>
      </c>
      <c r="L25" s="2920"/>
      <c r="M25" s="2920"/>
      <c r="N25" s="2920"/>
      <c r="O25" s="2920"/>
      <c r="P25" s="2921"/>
      <c r="Q25" s="2922">
        <v>0</v>
      </c>
      <c r="R25" s="2893">
        <f>ROUND(R14*Q25,0)</f>
        <v>0</v>
      </c>
      <c r="S25" s="2815"/>
      <c r="T25" s="2815"/>
      <c r="U25" s="2815"/>
      <c r="V25" s="2923"/>
    </row>
    <row r="26" spans="1:22" s="2924" customFormat="1" ht="13.15" customHeight="1">
      <c r="A26" s="2905">
        <v>2</v>
      </c>
      <c r="B26" s="2906" t="s">
        <v>2387</v>
      </c>
      <c r="C26" s="2907">
        <f>D7</f>
        <v>0</v>
      </c>
      <c r="D26" s="2908">
        <f>D23*D27</f>
        <v>0</v>
      </c>
      <c r="E26" s="2909">
        <f>E23*E27</f>
        <v>0</v>
      </c>
      <c r="F26" s="2910"/>
      <c r="G26" s="2911"/>
      <c r="H26" s="2822"/>
      <c r="I26" s="2823"/>
      <c r="J26" s="3700">
        <v>5</v>
      </c>
      <c r="K26" s="2925" t="s">
        <v>2388</v>
      </c>
      <c r="L26" s="2926"/>
      <c r="M26" s="2927"/>
      <c r="N26" s="2928" t="s">
        <v>2389</v>
      </c>
      <c r="O26" s="2928" t="s">
        <v>2390</v>
      </c>
      <c r="P26" s="2929" t="s">
        <v>2391</v>
      </c>
      <c r="Q26" s="2929" t="s">
        <v>2392</v>
      </c>
      <c r="R26" s="2832" t="s">
        <v>2317</v>
      </c>
      <c r="S26" s="2930"/>
      <c r="T26" s="2930"/>
      <c r="U26" s="2930"/>
      <c r="V26" s="2923"/>
    </row>
    <row r="27" spans="1:22" s="2827" customFormat="1" ht="13.15" customHeight="1">
      <c r="A27" s="2912"/>
      <c r="B27" s="2913" t="s">
        <v>2393</v>
      </c>
      <c r="C27" s="2931" t="e">
        <f>E7</f>
        <v>#DIV/0!</v>
      </c>
      <c r="D27" s="2915"/>
      <c r="E27" s="2916"/>
      <c r="F27" s="2917"/>
      <c r="G27" s="2911"/>
      <c r="H27" s="2932"/>
      <c r="I27" s="2923"/>
      <c r="J27" s="3701"/>
      <c r="K27" s="2933"/>
      <c r="L27" s="2934"/>
      <c r="M27" s="2935"/>
      <c r="N27" s="2936"/>
      <c r="O27" s="2936"/>
      <c r="P27" s="2936"/>
      <c r="Q27" s="2937"/>
      <c r="R27" s="2893">
        <f>ROUND(O27*N27*P27*(1-Q27)/10000,0)</f>
        <v>0</v>
      </c>
      <c r="S27" s="2815"/>
      <c r="T27" s="2815"/>
      <c r="U27" s="2815"/>
      <c r="V27" s="2823"/>
    </row>
    <row r="28" spans="1:22" s="2924" customFormat="1" ht="13.15" customHeight="1" thickBot="1">
      <c r="A28" s="2912"/>
      <c r="B28" s="2913"/>
      <c r="C28" s="2931"/>
      <c r="D28" s="2915"/>
      <c r="E28" s="2916" t="s">
        <v>2394</v>
      </c>
      <c r="F28" s="2917"/>
      <c r="G28" s="2904"/>
      <c r="H28" s="2932"/>
      <c r="I28" s="2923"/>
      <c r="J28" s="2938">
        <v>6</v>
      </c>
      <c r="K28" s="2939" t="s">
        <v>2395</v>
      </c>
      <c r="L28" s="2940" t="s">
        <v>2396</v>
      </c>
      <c r="M28" s="2941"/>
      <c r="N28" s="2940" t="s">
        <v>2397</v>
      </c>
      <c r="O28" s="2942"/>
      <c r="P28" s="2940" t="s">
        <v>2398</v>
      </c>
      <c r="Q28" s="2943">
        <v>1.4999999999999999E-2</v>
      </c>
      <c r="R28" s="2944"/>
      <c r="S28" s="2896"/>
      <c r="T28" s="2896"/>
      <c r="U28" s="2896"/>
      <c r="V28" s="2923"/>
    </row>
    <row r="29" spans="1:22" s="2924" customFormat="1" ht="13.15" customHeight="1">
      <c r="A29" s="2905">
        <v>3</v>
      </c>
      <c r="B29" s="2906" t="s">
        <v>2399</v>
      </c>
      <c r="C29" s="2907">
        <f>C23*C30</f>
        <v>0</v>
      </c>
      <c r="D29" s="2908">
        <f>D23*C30</f>
        <v>0</v>
      </c>
      <c r="E29" s="2909">
        <f>E23*C30</f>
        <v>0</v>
      </c>
      <c r="F29" s="2910"/>
      <c r="G29" s="2911"/>
      <c r="H29" s="2822"/>
      <c r="I29" s="2823"/>
      <c r="J29" s="2896"/>
      <c r="K29" s="2896"/>
      <c r="L29" s="2896"/>
      <c r="M29" s="2896"/>
      <c r="N29" s="2896"/>
      <c r="O29" s="2896"/>
      <c r="P29" s="2896"/>
      <c r="Q29" s="2896"/>
      <c r="R29" s="2896"/>
      <c r="S29" s="2896"/>
      <c r="T29" s="2896"/>
      <c r="U29" s="2896"/>
      <c r="V29" s="2923"/>
    </row>
    <row r="30" spans="1:22" s="2827" customFormat="1" ht="13.15" customHeight="1" thickBot="1">
      <c r="A30" s="2912"/>
      <c r="B30" s="2913" t="s">
        <v>2393</v>
      </c>
      <c r="C30" s="2931">
        <f>E18</f>
        <v>0</v>
      </c>
      <c r="D30" s="2945"/>
      <c r="E30" s="2876"/>
      <c r="F30" s="2917"/>
      <c r="G30" s="2911"/>
      <c r="H30" s="2932"/>
      <c r="I30" s="2923"/>
      <c r="J30" s="2896"/>
      <c r="K30" s="2896"/>
      <c r="L30" s="2896"/>
      <c r="M30" s="2896"/>
      <c r="N30" s="2896"/>
      <c r="O30" s="2896"/>
      <c r="P30" s="2896"/>
      <c r="Q30" s="2896"/>
      <c r="R30" s="2896"/>
      <c r="S30" s="2896"/>
      <c r="T30" s="2896"/>
      <c r="U30" s="2815"/>
      <c r="V30" s="2823"/>
    </row>
    <row r="31" spans="1:22" s="2924" customFormat="1" ht="13.15" customHeight="1">
      <c r="A31" s="2912"/>
      <c r="B31" s="2913"/>
      <c r="C31" s="2946"/>
      <c r="D31" s="2945"/>
      <c r="E31" s="2876"/>
      <c r="F31" s="2917"/>
      <c r="G31" s="2904"/>
      <c r="H31" s="2932"/>
      <c r="I31" s="2923"/>
      <c r="J31" s="2812" t="s">
        <v>2400</v>
      </c>
      <c r="K31" s="2813"/>
      <c r="L31" s="2813"/>
      <c r="M31" s="2813"/>
      <c r="N31" s="2813"/>
      <c r="O31" s="2813"/>
      <c r="P31" s="2813"/>
      <c r="Q31" s="2813"/>
      <c r="R31" s="2814"/>
      <c r="S31" s="2896"/>
      <c r="T31" s="2815"/>
      <c r="U31" s="2815"/>
      <c r="V31" s="2923"/>
    </row>
    <row r="32" spans="1:22" s="2924" customFormat="1" ht="13.15" customHeight="1">
      <c r="A32" s="2905">
        <v>4</v>
      </c>
      <c r="B32" s="2906" t="s">
        <v>2401</v>
      </c>
      <c r="C32" s="2907">
        <f>C23-C26-C29</f>
        <v>0</v>
      </c>
      <c r="D32" s="2908">
        <f>D23-D26-D29</f>
        <v>0</v>
      </c>
      <c r="E32" s="2909">
        <f>E23-E26-E29</f>
        <v>0</v>
      </c>
      <c r="F32" s="2910"/>
      <c r="G32" s="2904"/>
      <c r="H32" s="2822"/>
      <c r="I32" s="2823"/>
      <c r="J32" s="3683" t="s">
        <v>2293</v>
      </c>
      <c r="K32" s="3684"/>
      <c r="L32" s="2824" t="s">
        <v>2294</v>
      </c>
      <c r="M32" s="2824" t="s">
        <v>2295</v>
      </c>
      <c r="N32" s="2824" t="s">
        <v>2296</v>
      </c>
      <c r="O32" s="2824" t="s">
        <v>2297</v>
      </c>
      <c r="P32" s="2824" t="s">
        <v>2298</v>
      </c>
      <c r="Q32" s="2825" t="s">
        <v>2299</v>
      </c>
      <c r="R32" s="2947" t="s">
        <v>2300</v>
      </c>
      <c r="S32" s="2896"/>
      <c r="T32" s="2815"/>
      <c r="U32" s="2815"/>
      <c r="V32" s="2923"/>
    </row>
    <row r="33" spans="1:23" s="2827" customFormat="1" ht="13.15" customHeight="1">
      <c r="A33" s="2905"/>
      <c r="B33" s="2906"/>
      <c r="C33" s="2907"/>
      <c r="D33" s="2948"/>
      <c r="E33" s="2949"/>
      <c r="F33" s="2910"/>
      <c r="G33" s="2904"/>
      <c r="H33" s="2932"/>
      <c r="I33" s="2923"/>
      <c r="J33" s="3685" t="s">
        <v>2303</v>
      </c>
      <c r="K33" s="3686"/>
      <c r="L33" s="2830"/>
      <c r="M33" s="2830"/>
      <c r="N33" s="2830"/>
      <c r="O33" s="2830"/>
      <c r="P33" s="2830"/>
      <c r="Q33" s="2831"/>
      <c r="R33" s="2950">
        <f>SUM(L33:Q33)</f>
        <v>0</v>
      </c>
      <c r="S33" s="2896"/>
      <c r="T33" s="2815"/>
      <c r="U33" s="2815"/>
      <c r="V33" s="2823"/>
    </row>
    <row r="34" spans="1:23" s="2827" customFormat="1" ht="13.15" customHeight="1">
      <c r="A34" s="2905">
        <v>5</v>
      </c>
      <c r="B34" s="2906" t="s">
        <v>2402</v>
      </c>
      <c r="C34" s="2951"/>
      <c r="D34" s="2952"/>
      <c r="E34" s="2953"/>
      <c r="F34" s="2910"/>
      <c r="G34" s="2904"/>
      <c r="H34" s="2932"/>
      <c r="I34" s="2923"/>
      <c r="J34" s="3685" t="s">
        <v>2305</v>
      </c>
      <c r="K34" s="3686"/>
      <c r="L34" s="2835"/>
      <c r="M34" s="2835"/>
      <c r="N34" s="2835"/>
      <c r="O34" s="2835"/>
      <c r="P34" s="2835"/>
      <c r="Q34" s="2836"/>
      <c r="R34" s="2954">
        <f>SUM(L34:Q34)</f>
        <v>0</v>
      </c>
      <c r="S34" s="2896"/>
      <c r="T34" s="2815"/>
      <c r="U34" s="2815" t="e">
        <f>ROUND(R35*10000/365/R33,1)</f>
        <v>#DIV/0!</v>
      </c>
      <c r="V34" s="2823"/>
    </row>
    <row r="35" spans="1:23" s="2827" customFormat="1" ht="13.15" customHeight="1">
      <c r="A35" s="2905">
        <v>6</v>
      </c>
      <c r="B35" s="2906" t="s">
        <v>2403</v>
      </c>
      <c r="C35" s="2955"/>
      <c r="D35" s="2956"/>
      <c r="E35" s="2957"/>
      <c r="F35" s="2910"/>
      <c r="G35" s="2958"/>
      <c r="H35" s="2822"/>
      <c r="I35" s="2923"/>
      <c r="J35" s="2841" t="s">
        <v>2307</v>
      </c>
      <c r="K35" s="2842"/>
      <c r="L35" s="2842"/>
      <c r="M35" s="2843"/>
      <c r="N35" s="2843"/>
      <c r="O35" s="2843"/>
      <c r="P35" s="2843"/>
      <c r="Q35" s="2843"/>
      <c r="R35" s="2959">
        <f>R40+R41+R43</f>
        <v>0</v>
      </c>
      <c r="S35" s="2896"/>
      <c r="T35" s="2815" t="s">
        <v>2308</v>
      </c>
      <c r="U35" s="2815"/>
      <c r="V35" s="2823"/>
    </row>
    <row r="36" spans="1:23" s="2827" customFormat="1" ht="13.15" customHeight="1" thickBot="1">
      <c r="A36" s="2905">
        <v>7</v>
      </c>
      <c r="B36" s="2960" t="s">
        <v>2404</v>
      </c>
      <c r="C36" s="2961"/>
      <c r="D36" s="2962"/>
      <c r="E36" s="2963"/>
      <c r="F36" s="2964">
        <f>C36+D36+E36</f>
        <v>0</v>
      </c>
      <c r="G36" s="2904"/>
      <c r="H36" s="2822"/>
      <c r="I36" s="2823"/>
      <c r="J36" s="3690">
        <v>1</v>
      </c>
      <c r="K36" s="3691" t="s">
        <v>2405</v>
      </c>
      <c r="L36" s="2848"/>
      <c r="M36" s="2849"/>
      <c r="N36" s="2849"/>
      <c r="O36" s="2849"/>
      <c r="P36" s="2849"/>
      <c r="Q36" s="2849"/>
      <c r="R36" s="2832" t="s">
        <v>2317</v>
      </c>
      <c r="S36" s="2896"/>
      <c r="T36" s="2815" t="s">
        <v>2318</v>
      </c>
      <c r="U36" s="2815"/>
      <c r="V36" s="2823"/>
    </row>
    <row r="37" spans="1:23" s="2827" customFormat="1" ht="13.15" customHeight="1">
      <c r="A37" s="2905"/>
      <c r="B37" s="2906"/>
      <c r="C37" s="2906"/>
      <c r="D37" s="2906"/>
      <c r="E37" s="2906"/>
      <c r="F37" s="2910"/>
      <c r="G37" s="2904"/>
      <c r="H37" s="2822"/>
      <c r="I37" s="2823"/>
      <c r="J37" s="3690"/>
      <c r="K37" s="3692"/>
      <c r="L37" s="2857"/>
      <c r="M37" s="2858"/>
      <c r="N37" s="2834"/>
      <c r="O37" s="2859"/>
      <c r="P37" s="2859"/>
      <c r="Q37" s="2860"/>
      <c r="R37" s="2861"/>
      <c r="S37" s="2896"/>
      <c r="T37" s="2815" t="s">
        <v>2321</v>
      </c>
      <c r="U37" s="2815"/>
      <c r="V37" s="2823"/>
    </row>
    <row r="38" spans="1:23" s="2827" customFormat="1" ht="13.15" customHeight="1">
      <c r="A38" s="2905">
        <v>8</v>
      </c>
      <c r="B38" s="2906"/>
      <c r="C38" s="2863" t="e">
        <f>ROUND(C32*(1-((1+C35)/(1+C34))^C36)/(C34-C35),0)</f>
        <v>#DIV/0!</v>
      </c>
      <c r="D38" s="2863">
        <f>IF(D23=0,0,ROUND(D32*(1-((1+D35)/(1+D34))^D36)/(D34-D35),0))</f>
        <v>0</v>
      </c>
      <c r="E38" s="2863">
        <f>IF(E23=0,0,ROUND(E32*(1-((1+E35)/(1+E34))^E36)/(E34-E35),0))</f>
        <v>0</v>
      </c>
      <c r="F38" s="2910"/>
      <c r="G38" s="2904"/>
      <c r="H38" s="2822"/>
      <c r="I38" s="2823"/>
      <c r="J38" s="3690"/>
      <c r="K38" s="3692"/>
      <c r="L38" s="2857"/>
      <c r="M38" s="2858"/>
      <c r="N38" s="2834"/>
      <c r="O38" s="2859"/>
      <c r="P38" s="2859"/>
      <c r="Q38" s="2860"/>
      <c r="R38" s="2861"/>
      <c r="S38" s="2896"/>
      <c r="T38" s="2815" t="s">
        <v>2328</v>
      </c>
      <c r="U38" s="2815"/>
      <c r="V38" s="2823"/>
    </row>
    <row r="39" spans="1:23" s="2827" customFormat="1" ht="13.15" customHeight="1">
      <c r="A39" s="2905">
        <v>9</v>
      </c>
      <c r="B39" s="2906" t="s">
        <v>2406</v>
      </c>
      <c r="C39" s="2871" t="e">
        <f>C38</f>
        <v>#DIV/0!</v>
      </c>
      <c r="D39" s="2906">
        <f>D38/(1+D34)^C36</f>
        <v>0</v>
      </c>
      <c r="E39" s="2906">
        <f>E38/(1+E34)^(C36+D36)</f>
        <v>0</v>
      </c>
      <c r="F39" s="2910"/>
      <c r="G39" s="2965"/>
      <c r="H39" s="2822"/>
      <c r="I39" s="2823"/>
      <c r="J39" s="3690"/>
      <c r="K39" s="3692"/>
      <c r="L39" s="2857"/>
      <c r="M39" s="2858"/>
      <c r="N39" s="2834"/>
      <c r="O39" s="2859"/>
      <c r="P39" s="2859"/>
      <c r="Q39" s="2860"/>
      <c r="R39" s="2861"/>
      <c r="S39" s="2896"/>
      <c r="T39" s="2815"/>
      <c r="U39" s="2815"/>
      <c r="V39" s="2823"/>
    </row>
    <row r="40" spans="1:23" s="2827" customFormat="1" ht="13.15" customHeight="1">
      <c r="A40" s="2966">
        <v>10</v>
      </c>
      <c r="B40" s="2906" t="s">
        <v>2407</v>
      </c>
      <c r="C40" s="2967" t="e">
        <f>C39+D39+E39</f>
        <v>#DIV/0!</v>
      </c>
      <c r="D40" s="2968"/>
      <c r="E40" s="2968"/>
      <c r="F40" s="2969"/>
      <c r="G40" s="2904"/>
      <c r="H40" s="2822"/>
      <c r="I40" s="2823"/>
      <c r="J40" s="3690"/>
      <c r="K40" s="3693"/>
      <c r="L40" s="2877" t="s">
        <v>2346</v>
      </c>
      <c r="M40" s="2878"/>
      <c r="N40" s="2878"/>
      <c r="O40" s="2879"/>
      <c r="P40" s="2879"/>
      <c r="Q40" s="2880"/>
      <c r="R40" s="2826">
        <f>SUM(R37:R39)</f>
        <v>0</v>
      </c>
      <c r="S40" s="2896"/>
      <c r="T40" s="2815"/>
      <c r="U40" s="2815"/>
      <c r="V40" s="2823"/>
    </row>
    <row r="41" spans="1:23" s="2827" customFormat="1" ht="13.15" customHeight="1" thickBot="1">
      <c r="A41" s="2970">
        <v>11</v>
      </c>
      <c r="B41" s="2971" t="s">
        <v>2408</v>
      </c>
      <c r="C41" s="2971" t="e">
        <f>ROUND(C40*10000/B4,0)</f>
        <v>#DIV/0!</v>
      </c>
      <c r="D41" s="2972"/>
      <c r="E41" s="2972"/>
      <c r="F41" s="2973"/>
      <c r="G41" s="2974"/>
      <c r="H41" s="2822"/>
      <c r="I41" s="2823"/>
      <c r="J41" s="2918">
        <v>2</v>
      </c>
      <c r="K41" s="2919" t="s">
        <v>2386</v>
      </c>
      <c r="L41" s="2920"/>
      <c r="M41" s="2920"/>
      <c r="N41" s="2920"/>
      <c r="O41" s="2920"/>
      <c r="P41" s="2921"/>
      <c r="Q41" s="2922"/>
      <c r="R41" s="2893">
        <f>ROUND(R40*Q41,0)</f>
        <v>0</v>
      </c>
      <c r="S41" s="2896"/>
      <c r="T41" s="2815"/>
      <c r="U41" s="2930"/>
      <c r="V41" s="2823"/>
    </row>
    <row r="42" spans="1:23" s="2827" customFormat="1" ht="13.15" customHeight="1">
      <c r="G42" s="2974"/>
      <c r="H42" s="2822"/>
      <c r="I42" s="2823"/>
      <c r="J42" s="3700">
        <v>3</v>
      </c>
      <c r="K42" s="2925" t="s">
        <v>2388</v>
      </c>
      <c r="L42" s="2926"/>
      <c r="M42" s="2927"/>
      <c r="N42" s="2928" t="s">
        <v>2389</v>
      </c>
      <c r="O42" s="2928" t="s">
        <v>2390</v>
      </c>
      <c r="P42" s="2929" t="s">
        <v>2391</v>
      </c>
      <c r="Q42" s="2929" t="s">
        <v>2392</v>
      </c>
      <c r="R42" s="2832" t="s">
        <v>2317</v>
      </c>
      <c r="S42" s="2930"/>
      <c r="T42" s="2930"/>
      <c r="U42" s="2815"/>
      <c r="V42" s="2823"/>
    </row>
    <row r="43" spans="1:23" ht="13.15" customHeight="1">
      <c r="A43" s="2827"/>
      <c r="B43" s="2827"/>
      <c r="C43" s="2827"/>
      <c r="D43" s="2827"/>
      <c r="E43" s="2827"/>
      <c r="F43" s="2827"/>
      <c r="I43" s="2810"/>
      <c r="J43" s="3701"/>
      <c r="K43" s="2933"/>
      <c r="L43" s="2934"/>
      <c r="M43" s="2935"/>
      <c r="N43" s="2858"/>
      <c r="O43" s="2858"/>
      <c r="P43" s="2858"/>
      <c r="Q43" s="2922"/>
      <c r="R43" s="2893">
        <f>ROUND(O43*N43*P43*(1-Q43)/10000,0)</f>
        <v>0</v>
      </c>
      <c r="S43" s="2896"/>
      <c r="T43" s="2815"/>
      <c r="V43" s="2976"/>
      <c r="W43" s="2977"/>
    </row>
    <row r="44" spans="1:23" ht="13.15" customHeight="1" thickBot="1">
      <c r="J44" s="2938">
        <v>6</v>
      </c>
      <c r="K44" s="2939" t="s">
        <v>2395</v>
      </c>
      <c r="L44" s="2978" t="s">
        <v>2396</v>
      </c>
      <c r="M44" s="2941"/>
      <c r="N44" s="2978" t="s">
        <v>2397</v>
      </c>
      <c r="O44" s="2941"/>
      <c r="P44" s="2978" t="s">
        <v>2398</v>
      </c>
      <c r="Q44" s="2943">
        <v>1.4999999999999999E-2</v>
      </c>
      <c r="R44" s="2944"/>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15271</v>
      </c>
      <c r="C2" s="1871" t="s">
        <v>1633</v>
      </c>
      <c r="D2" s="1872" t="s">
        <v>1634</v>
      </c>
      <c r="E2" s="2581">
        <f>SUM(E6:E13)</f>
        <v>17559.11</v>
      </c>
      <c r="F2" s="2681"/>
      <c r="G2" s="1488"/>
      <c r="H2" s="1488"/>
      <c r="I2" s="1488"/>
      <c r="J2" s="1488"/>
      <c r="K2" s="1488"/>
      <c r="L2" s="1488"/>
      <c r="M2" s="1488"/>
      <c r="N2" s="1488"/>
      <c r="O2" s="1488"/>
      <c r="P2" s="1488"/>
      <c r="Q2" s="1488"/>
      <c r="R2" s="1488"/>
      <c r="S2" s="1488"/>
    </row>
    <row r="3" spans="1:22" ht="15.75">
      <c r="A3" s="1869" t="s">
        <v>686</v>
      </c>
      <c r="B3" s="2575">
        <f ca="1">ROUND(B2*10000/E2,0)</f>
        <v>8697</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702" t="s">
        <v>1636</v>
      </c>
      <c r="C5" s="3703"/>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15271</v>
      </c>
      <c r="C6" s="1871" t="s">
        <v>1633</v>
      </c>
      <c r="D6" s="2683"/>
      <c r="E6" s="2580">
        <f>IF(OR(A6=0,F6="否"),0,'数据-取费表'!K6+'数据-取费表'!S6)</f>
        <v>17559.11</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400"/>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1"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17559.11</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722" t="s">
        <v>1649</v>
      </c>
      <c r="D4" s="3723"/>
      <c r="E4" s="3724" t="s">
        <v>1650</v>
      </c>
      <c r="F4" s="3725"/>
      <c r="G4" s="3722" t="s">
        <v>1651</v>
      </c>
      <c r="H4" s="3723"/>
      <c r="I4" s="3722" t="s">
        <v>1652</v>
      </c>
      <c r="J4" s="3723"/>
      <c r="K4" s="1888" t="s">
        <v>1653</v>
      </c>
      <c r="L4" s="2689"/>
      <c r="M4" s="2690"/>
      <c r="N4" s="2690"/>
      <c r="O4" s="2690"/>
      <c r="P4" s="3726" t="s">
        <v>1654</v>
      </c>
      <c r="Q4" s="3727"/>
      <c r="R4" s="3709" t="s">
        <v>1650</v>
      </c>
      <c r="S4" s="3710"/>
      <c r="T4" s="3709" t="s">
        <v>1651</v>
      </c>
      <c r="U4" s="3710"/>
      <c r="V4" s="3734" t="s">
        <v>1652</v>
      </c>
      <c r="W4" s="3734"/>
      <c r="X4" s="1354"/>
      <c r="Y4" s="3709" t="s">
        <v>1654</v>
      </c>
      <c r="Z4" s="3710"/>
      <c r="AA4" s="3704" t="s">
        <v>1650</v>
      </c>
      <c r="AB4" s="3704" t="s">
        <v>1651</v>
      </c>
      <c r="AC4" s="3704" t="s">
        <v>1652</v>
      </c>
    </row>
    <row r="5" spans="1:29" ht="15">
      <c r="A5" s="358"/>
      <c r="B5" s="359"/>
      <c r="C5" s="3715" t="s">
        <v>1655</v>
      </c>
      <c r="D5" s="3716"/>
      <c r="E5" s="3713" t="s">
        <v>1656</v>
      </c>
      <c r="F5" s="3714"/>
      <c r="G5" s="3715" t="s">
        <v>1657</v>
      </c>
      <c r="H5" s="3716"/>
      <c r="I5" s="3715" t="s">
        <v>1658</v>
      </c>
      <c r="J5" s="3716"/>
      <c r="K5" s="1889"/>
      <c r="L5" s="2689"/>
      <c r="M5" s="2690"/>
      <c r="N5" s="2690"/>
      <c r="O5" s="2690"/>
      <c r="P5" s="3728"/>
      <c r="Q5" s="3729"/>
      <c r="R5" s="3711"/>
      <c r="S5" s="3712"/>
      <c r="T5" s="3711"/>
      <c r="U5" s="3712"/>
      <c r="V5" s="3734"/>
      <c r="W5" s="3734"/>
      <c r="X5" s="1354"/>
      <c r="Y5" s="3711"/>
      <c r="Z5" s="3712"/>
      <c r="AA5" s="3705"/>
      <c r="AB5" s="3705"/>
      <c r="AC5" s="3705"/>
    </row>
    <row r="6" spans="1:29" ht="15.75" thickBot="1">
      <c r="A6" s="360"/>
      <c r="B6" s="361"/>
      <c r="C6" s="3717" t="s">
        <v>1659</v>
      </c>
      <c r="D6" s="3718"/>
      <c r="E6" s="3719" t="s">
        <v>1659</v>
      </c>
      <c r="F6" s="3720"/>
      <c r="G6" s="3717" t="s">
        <v>1659</v>
      </c>
      <c r="H6" s="3718"/>
      <c r="I6" s="3717" t="s">
        <v>1659</v>
      </c>
      <c r="J6" s="3718"/>
      <c r="K6" s="1889" t="s">
        <v>1660</v>
      </c>
      <c r="L6" s="2689"/>
      <c r="M6" s="2690"/>
      <c r="N6" s="2690"/>
      <c r="O6" s="2690"/>
      <c r="P6" s="3730"/>
      <c r="Q6" s="3731"/>
      <c r="R6" s="3711"/>
      <c r="S6" s="3712"/>
      <c r="T6" s="3732"/>
      <c r="U6" s="3733"/>
      <c r="V6" s="3734"/>
      <c r="W6" s="3734"/>
      <c r="X6" s="1354"/>
      <c r="Y6" s="3732"/>
      <c r="Z6" s="3733"/>
      <c r="AA6" s="3706"/>
      <c r="AB6" s="3706"/>
      <c r="AC6" s="3706"/>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707" t="s">
        <v>1662</v>
      </c>
      <c r="Q7" s="3735"/>
      <c r="R7" s="701" t="s">
        <v>20</v>
      </c>
      <c r="S7" s="702">
        <f t="shared" ref="S7:S15" si="0">F7</f>
        <v>0</v>
      </c>
      <c r="T7" s="701" t="s">
        <v>20</v>
      </c>
      <c r="U7" s="702">
        <f t="shared" ref="U7:U15" si="1">H7</f>
        <v>0</v>
      </c>
      <c r="V7" s="701" t="s">
        <v>20</v>
      </c>
      <c r="W7" s="702">
        <f t="shared" ref="W7:W15" si="2">J7</f>
        <v>0</v>
      </c>
      <c r="X7" s="703"/>
      <c r="Y7" s="3707" t="s">
        <v>1662</v>
      </c>
      <c r="Z7" s="3708"/>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707" t="s">
        <v>1665</v>
      </c>
      <c r="Q8" s="3708"/>
      <c r="R8" s="701" t="s">
        <v>20</v>
      </c>
      <c r="S8" s="702">
        <f t="shared" si="0"/>
        <v>100</v>
      </c>
      <c r="T8" s="701" t="s">
        <v>20</v>
      </c>
      <c r="U8" s="702">
        <f t="shared" si="1"/>
        <v>100</v>
      </c>
      <c r="V8" s="701" t="s">
        <v>20</v>
      </c>
      <c r="W8" s="702">
        <f t="shared" si="2"/>
        <v>100</v>
      </c>
      <c r="X8" s="703"/>
      <c r="Y8" s="3707" t="s">
        <v>1665</v>
      </c>
      <c r="Z8" s="3708"/>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721" t="s">
        <v>1668</v>
      </c>
      <c r="Q9" s="1342" t="str">
        <f t="shared" ref="Q9:Q15" si="6">B9</f>
        <v>用途</v>
      </c>
      <c r="R9" s="701" t="s">
        <v>14</v>
      </c>
      <c r="S9" s="702">
        <f t="shared" si="0"/>
        <v>100</v>
      </c>
      <c r="T9" s="701" t="s">
        <v>14</v>
      </c>
      <c r="U9" s="702">
        <f t="shared" si="1"/>
        <v>100</v>
      </c>
      <c r="V9" s="701" t="s">
        <v>14</v>
      </c>
      <c r="W9" s="702">
        <f t="shared" si="2"/>
        <v>100</v>
      </c>
      <c r="X9" s="703"/>
      <c r="Y9" s="3651"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1890"/>
      <c r="L10" s="2693"/>
      <c r="M10" s="2694"/>
      <c r="N10" s="2694"/>
      <c r="O10" s="2694"/>
      <c r="P10" s="3721"/>
      <c r="Q10" s="1342" t="str">
        <f t="shared" si="6"/>
        <v>土地使用年限（年）</v>
      </c>
      <c r="R10" s="701" t="s">
        <v>14</v>
      </c>
      <c r="S10" s="702">
        <f t="shared" si="0"/>
        <v>100</v>
      </c>
      <c r="T10" s="701" t="s">
        <v>14</v>
      </c>
      <c r="U10" s="702">
        <f t="shared" si="1"/>
        <v>100</v>
      </c>
      <c r="V10" s="701" t="s">
        <v>14</v>
      </c>
      <c r="W10" s="702">
        <f t="shared" si="2"/>
        <v>100</v>
      </c>
      <c r="X10" s="703"/>
      <c r="Y10" s="3651"/>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721"/>
      <c r="Q11" s="1342" t="str">
        <f t="shared" si="6"/>
        <v>容积率</v>
      </c>
      <c r="R11" s="701" t="s">
        <v>18</v>
      </c>
      <c r="S11" s="702" t="e">
        <f t="shared" si="0"/>
        <v>#N/A</v>
      </c>
      <c r="T11" s="701" t="s">
        <v>18</v>
      </c>
      <c r="U11" s="702" t="e">
        <f t="shared" si="1"/>
        <v>#N/A</v>
      </c>
      <c r="V11" s="701" t="s">
        <v>18</v>
      </c>
      <c r="W11" s="702" t="e">
        <f t="shared" si="2"/>
        <v>#N/A</v>
      </c>
      <c r="X11" s="703"/>
      <c r="Y11" s="3651"/>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721"/>
      <c r="Q12" s="1342">
        <f t="shared" si="6"/>
        <v>111</v>
      </c>
      <c r="R12" s="701" t="s">
        <v>18</v>
      </c>
      <c r="S12" s="702">
        <f t="shared" si="0"/>
        <v>100</v>
      </c>
      <c r="T12" s="701" t="s">
        <v>18</v>
      </c>
      <c r="U12" s="702">
        <f t="shared" si="1"/>
        <v>100</v>
      </c>
      <c r="V12" s="701" t="s">
        <v>18</v>
      </c>
      <c r="W12" s="702">
        <f t="shared" si="2"/>
        <v>100</v>
      </c>
      <c r="X12" s="703"/>
      <c r="Y12" s="3651"/>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721"/>
      <c r="Q13" s="1342">
        <f t="shared" si="6"/>
        <v>111</v>
      </c>
      <c r="R13" s="701" t="s">
        <v>18</v>
      </c>
      <c r="S13" s="702">
        <f t="shared" si="0"/>
        <v>100</v>
      </c>
      <c r="T13" s="701" t="s">
        <v>18</v>
      </c>
      <c r="U13" s="702">
        <f t="shared" si="1"/>
        <v>100</v>
      </c>
      <c r="V13" s="701" t="s">
        <v>18</v>
      </c>
      <c r="W13" s="702">
        <f t="shared" si="2"/>
        <v>100</v>
      </c>
      <c r="X13" s="703"/>
      <c r="Y13" s="3651"/>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721"/>
      <c r="Q14" s="1342">
        <f t="shared" si="6"/>
        <v>111</v>
      </c>
      <c r="R14" s="701" t="s">
        <v>18</v>
      </c>
      <c r="S14" s="702">
        <f t="shared" si="0"/>
        <v>100</v>
      </c>
      <c r="T14" s="701" t="s">
        <v>18</v>
      </c>
      <c r="U14" s="702">
        <f t="shared" si="1"/>
        <v>100</v>
      </c>
      <c r="V14" s="701" t="s">
        <v>18</v>
      </c>
      <c r="W14" s="702">
        <f t="shared" si="2"/>
        <v>100</v>
      </c>
      <c r="X14" s="703"/>
      <c r="Y14" s="3651"/>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748" t="s">
        <v>1673</v>
      </c>
      <c r="Q15" s="1351" t="str">
        <f t="shared" si="6"/>
        <v>居住社区成熟度</v>
      </c>
      <c r="R15" s="705" t="s">
        <v>18</v>
      </c>
      <c r="S15" s="706">
        <f t="shared" si="0"/>
        <v>100</v>
      </c>
      <c r="T15" s="705" t="s">
        <v>18</v>
      </c>
      <c r="U15" s="706">
        <f t="shared" si="1"/>
        <v>100</v>
      </c>
      <c r="V15" s="705" t="s">
        <v>18</v>
      </c>
      <c r="W15" s="706">
        <f t="shared" si="2"/>
        <v>100</v>
      </c>
      <c r="X15" s="1354"/>
      <c r="Y15" s="3741"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49"/>
      <c r="Q16" s="1351"/>
      <c r="R16" s="705"/>
      <c r="S16" s="706"/>
      <c r="T16" s="705"/>
      <c r="U16" s="706"/>
      <c r="V16" s="705"/>
      <c r="W16" s="706"/>
      <c r="X16" s="1354"/>
      <c r="Y16" s="3742"/>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49"/>
      <c r="Q17" s="1351" t="str">
        <f>B17</f>
        <v>交通便捷度</v>
      </c>
      <c r="R17" s="705" t="s">
        <v>18</v>
      </c>
      <c r="S17" s="706">
        <f>F17</f>
        <v>100</v>
      </c>
      <c r="T17" s="705" t="s">
        <v>18</v>
      </c>
      <c r="U17" s="706">
        <f>H17</f>
        <v>100</v>
      </c>
      <c r="V17" s="705" t="s">
        <v>18</v>
      </c>
      <c r="W17" s="706">
        <f>J17</f>
        <v>100</v>
      </c>
      <c r="X17" s="1354"/>
      <c r="Y17" s="3742"/>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49"/>
      <c r="Q18" s="1351"/>
      <c r="R18" s="705"/>
      <c r="S18" s="706"/>
      <c r="T18" s="705"/>
      <c r="U18" s="706"/>
      <c r="V18" s="705"/>
      <c r="W18" s="706"/>
      <c r="X18" s="1354"/>
      <c r="Y18" s="3742"/>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49"/>
      <c r="Q19" s="1351" t="str">
        <f>B19</f>
        <v>公共配套设施</v>
      </c>
      <c r="R19" s="705" t="s">
        <v>18</v>
      </c>
      <c r="S19" s="706">
        <f>F19</f>
        <v>100</v>
      </c>
      <c r="T19" s="705" t="s">
        <v>18</v>
      </c>
      <c r="U19" s="706">
        <f>H19</f>
        <v>100</v>
      </c>
      <c r="V19" s="705" t="s">
        <v>18</v>
      </c>
      <c r="W19" s="706">
        <f>J19</f>
        <v>100</v>
      </c>
      <c r="X19" s="1354"/>
      <c r="Y19" s="3742"/>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49"/>
      <c r="Q20" s="1351"/>
      <c r="R20" s="705"/>
      <c r="S20" s="706"/>
      <c r="T20" s="705"/>
      <c r="U20" s="706"/>
      <c r="V20" s="705"/>
      <c r="W20" s="706"/>
      <c r="X20" s="1354"/>
      <c r="Y20" s="3742"/>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49"/>
      <c r="Q21" s="1351" t="str">
        <f>B21</f>
        <v>基础设施水平</v>
      </c>
      <c r="R21" s="705" t="s">
        <v>14</v>
      </c>
      <c r="S21" s="706">
        <f>F21</f>
        <v>100</v>
      </c>
      <c r="T21" s="705" t="s">
        <v>14</v>
      </c>
      <c r="U21" s="706">
        <f>H21</f>
        <v>100</v>
      </c>
      <c r="V21" s="705" t="s">
        <v>14</v>
      </c>
      <c r="W21" s="706">
        <f>J21</f>
        <v>100</v>
      </c>
      <c r="X21" s="1354"/>
      <c r="Y21" s="3742"/>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49"/>
      <c r="Q22" s="1351"/>
      <c r="R22" s="705"/>
      <c r="S22" s="706"/>
      <c r="T22" s="705"/>
      <c r="U22" s="706"/>
      <c r="V22" s="705"/>
      <c r="W22" s="706"/>
      <c r="X22" s="1354"/>
      <c r="Y22" s="3742"/>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49"/>
      <c r="Q23" s="1351" t="str">
        <f>B23</f>
        <v>自然及人文环境</v>
      </c>
      <c r="R23" s="705" t="s">
        <v>18</v>
      </c>
      <c r="S23" s="706">
        <f>F23</f>
        <v>100</v>
      </c>
      <c r="T23" s="705" t="s">
        <v>18</v>
      </c>
      <c r="U23" s="706">
        <f>H23</f>
        <v>100</v>
      </c>
      <c r="V23" s="705" t="s">
        <v>18</v>
      </c>
      <c r="W23" s="706">
        <f>J23</f>
        <v>100</v>
      </c>
      <c r="X23" s="1354"/>
      <c r="Y23" s="3742"/>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49"/>
      <c r="Q24" s="1351"/>
      <c r="R24" s="705"/>
      <c r="S24" s="706"/>
      <c r="T24" s="705"/>
      <c r="U24" s="706"/>
      <c r="V24" s="705"/>
      <c r="W24" s="706"/>
      <c r="X24" s="1354"/>
      <c r="Y24" s="3742"/>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49"/>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742"/>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49"/>
      <c r="Q26" s="1351" t="str">
        <f t="shared" si="11"/>
        <v>朝向</v>
      </c>
      <c r="R26" s="705" t="s">
        <v>18</v>
      </c>
      <c r="S26" s="706">
        <f t="shared" si="12"/>
        <v>100</v>
      </c>
      <c r="T26" s="705" t="s">
        <v>18</v>
      </c>
      <c r="U26" s="706">
        <f t="shared" si="13"/>
        <v>100</v>
      </c>
      <c r="V26" s="705" t="s">
        <v>18</v>
      </c>
      <c r="W26" s="706">
        <f t="shared" si="14"/>
        <v>100</v>
      </c>
      <c r="X26" s="1354"/>
      <c r="Y26" s="3742"/>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49"/>
      <c r="Q27" s="1342">
        <f t="shared" si="11"/>
        <v>111</v>
      </c>
      <c r="R27" s="701" t="s">
        <v>18</v>
      </c>
      <c r="S27" s="702">
        <f t="shared" si="12"/>
        <v>100</v>
      </c>
      <c r="T27" s="701" t="s">
        <v>18</v>
      </c>
      <c r="U27" s="702">
        <f t="shared" si="13"/>
        <v>100</v>
      </c>
      <c r="V27" s="701" t="s">
        <v>18</v>
      </c>
      <c r="W27" s="702">
        <f t="shared" si="14"/>
        <v>100</v>
      </c>
      <c r="X27" s="703"/>
      <c r="Y27" s="3742"/>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49"/>
      <c r="Q28" s="1351">
        <f t="shared" si="11"/>
        <v>111</v>
      </c>
      <c r="R28" s="705" t="s">
        <v>18</v>
      </c>
      <c r="S28" s="706">
        <f t="shared" si="12"/>
        <v>100</v>
      </c>
      <c r="T28" s="705" t="s">
        <v>18</v>
      </c>
      <c r="U28" s="706">
        <f t="shared" si="13"/>
        <v>100</v>
      </c>
      <c r="V28" s="705" t="s">
        <v>18</v>
      </c>
      <c r="W28" s="706">
        <f t="shared" si="14"/>
        <v>100</v>
      </c>
      <c r="X28" s="1354"/>
      <c r="Y28" s="3742"/>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49"/>
      <c r="Q29" s="1351">
        <f t="shared" si="11"/>
        <v>111</v>
      </c>
      <c r="R29" s="705" t="s">
        <v>18</v>
      </c>
      <c r="S29" s="706">
        <f t="shared" si="12"/>
        <v>100</v>
      </c>
      <c r="T29" s="705" t="s">
        <v>18</v>
      </c>
      <c r="U29" s="706">
        <f t="shared" si="13"/>
        <v>100</v>
      </c>
      <c r="V29" s="705" t="s">
        <v>18</v>
      </c>
      <c r="W29" s="706">
        <f t="shared" si="14"/>
        <v>100</v>
      </c>
      <c r="X29" s="1354"/>
      <c r="Y29" s="3742"/>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49"/>
      <c r="Q30" s="1351">
        <f t="shared" si="11"/>
        <v>111</v>
      </c>
      <c r="R30" s="705" t="s">
        <v>18</v>
      </c>
      <c r="S30" s="706">
        <f t="shared" si="12"/>
        <v>100</v>
      </c>
      <c r="T30" s="705" t="s">
        <v>18</v>
      </c>
      <c r="U30" s="706">
        <f t="shared" si="13"/>
        <v>100</v>
      </c>
      <c r="V30" s="705" t="s">
        <v>18</v>
      </c>
      <c r="W30" s="706">
        <f t="shared" si="14"/>
        <v>100</v>
      </c>
      <c r="X30" s="1354"/>
      <c r="Y30" s="3742"/>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49"/>
      <c r="Q31" s="1351">
        <f t="shared" si="11"/>
        <v>111</v>
      </c>
      <c r="R31" s="705" t="s">
        <v>18</v>
      </c>
      <c r="S31" s="706">
        <f t="shared" si="12"/>
        <v>100</v>
      </c>
      <c r="T31" s="705" t="s">
        <v>18</v>
      </c>
      <c r="U31" s="706">
        <f t="shared" si="13"/>
        <v>100</v>
      </c>
      <c r="V31" s="705" t="s">
        <v>18</v>
      </c>
      <c r="W31" s="706">
        <f t="shared" si="14"/>
        <v>100</v>
      </c>
      <c r="X31" s="1354"/>
      <c r="Y31" s="3742"/>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743" t="s">
        <v>1678</v>
      </c>
      <c r="Q32" s="1351" t="str">
        <f t="shared" si="11"/>
        <v>建筑类型</v>
      </c>
      <c r="R32" s="705" t="s">
        <v>18</v>
      </c>
      <c r="S32" s="706">
        <f t="shared" si="12"/>
        <v>100</v>
      </c>
      <c r="T32" s="705" t="s">
        <v>18</v>
      </c>
      <c r="U32" s="706">
        <f t="shared" si="13"/>
        <v>100</v>
      </c>
      <c r="V32" s="705" t="s">
        <v>18</v>
      </c>
      <c r="W32" s="706">
        <f t="shared" si="14"/>
        <v>100</v>
      </c>
      <c r="X32" s="1354"/>
      <c r="Y32" s="3746"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744"/>
      <c r="Q33" s="707" t="str">
        <f t="shared" si="11"/>
        <v>项目建筑规模</v>
      </c>
      <c r="R33" s="708" t="s">
        <v>18</v>
      </c>
      <c r="S33" s="709" t="e">
        <f t="shared" si="12"/>
        <v>#N/A</v>
      </c>
      <c r="T33" s="708" t="s">
        <v>18</v>
      </c>
      <c r="U33" s="709" t="e">
        <f t="shared" si="13"/>
        <v>#N/A</v>
      </c>
      <c r="V33" s="708" t="s">
        <v>18</v>
      </c>
      <c r="W33" s="709" t="e">
        <f t="shared" si="14"/>
        <v>#N/A</v>
      </c>
      <c r="X33" s="710"/>
      <c r="Y33" s="3746"/>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744"/>
      <c r="Q34" s="1351" t="str">
        <f t="shared" si="11"/>
        <v>建筑结构</v>
      </c>
      <c r="R34" s="705" t="s">
        <v>18</v>
      </c>
      <c r="S34" s="706">
        <f t="shared" si="12"/>
        <v>100</v>
      </c>
      <c r="T34" s="705" t="s">
        <v>18</v>
      </c>
      <c r="U34" s="706">
        <f t="shared" si="13"/>
        <v>100</v>
      </c>
      <c r="V34" s="705" t="s">
        <v>18</v>
      </c>
      <c r="W34" s="706">
        <f t="shared" si="14"/>
        <v>100</v>
      </c>
      <c r="X34" s="1354"/>
      <c r="Y34" s="3746"/>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744"/>
      <c r="Q35" s="1351" t="str">
        <f t="shared" si="11"/>
        <v>建筑品质</v>
      </c>
      <c r="R35" s="705" t="s">
        <v>18</v>
      </c>
      <c r="S35" s="706">
        <f t="shared" si="12"/>
        <v>100</v>
      </c>
      <c r="T35" s="705" t="s">
        <v>18</v>
      </c>
      <c r="U35" s="706">
        <f t="shared" si="13"/>
        <v>100</v>
      </c>
      <c r="V35" s="705" t="s">
        <v>18</v>
      </c>
      <c r="W35" s="706">
        <f t="shared" si="14"/>
        <v>100</v>
      </c>
      <c r="X35" s="1354"/>
      <c r="Y35" s="3746"/>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744"/>
      <c r="Q36" s="1351" t="str">
        <f t="shared" si="11"/>
        <v>公共部分装修</v>
      </c>
      <c r="R36" s="705" t="s">
        <v>18</v>
      </c>
      <c r="S36" s="706">
        <f t="shared" si="12"/>
        <v>100</v>
      </c>
      <c r="T36" s="705" t="s">
        <v>18</v>
      </c>
      <c r="U36" s="706">
        <f t="shared" si="13"/>
        <v>100</v>
      </c>
      <c r="V36" s="705" t="s">
        <v>18</v>
      </c>
      <c r="W36" s="706">
        <f t="shared" si="14"/>
        <v>100</v>
      </c>
      <c r="X36" s="1354"/>
      <c r="Y36" s="3746"/>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744"/>
      <c r="Q37" s="1342" t="str">
        <f t="shared" si="11"/>
        <v>成新度</v>
      </c>
      <c r="R37" s="701" t="s">
        <v>18</v>
      </c>
      <c r="S37" s="702" t="e">
        <f t="shared" si="12"/>
        <v>#N/A</v>
      </c>
      <c r="T37" s="701" t="s">
        <v>18</v>
      </c>
      <c r="U37" s="702" t="e">
        <f t="shared" si="13"/>
        <v>#N/A</v>
      </c>
      <c r="V37" s="701" t="s">
        <v>18</v>
      </c>
      <c r="W37" s="702" t="e">
        <f t="shared" si="14"/>
        <v>#N/A</v>
      </c>
      <c r="X37" s="703"/>
      <c r="Y37" s="3746"/>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744" t="s">
        <v>1678</v>
      </c>
      <c r="Q38" s="1351" t="str">
        <f t="shared" si="11"/>
        <v>物业管理</v>
      </c>
      <c r="R38" s="705" t="s">
        <v>18</v>
      </c>
      <c r="S38" s="706">
        <f t="shared" si="12"/>
        <v>100</v>
      </c>
      <c r="T38" s="705" t="s">
        <v>18</v>
      </c>
      <c r="U38" s="706">
        <f t="shared" si="13"/>
        <v>100</v>
      </c>
      <c r="V38" s="705" t="s">
        <v>18</v>
      </c>
      <c r="W38" s="706">
        <f t="shared" si="14"/>
        <v>100</v>
      </c>
      <c r="X38" s="1354"/>
      <c r="Y38" s="3746"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744"/>
      <c r="Q39" s="1351" t="str">
        <f t="shared" si="11"/>
        <v>市政基础设施</v>
      </c>
      <c r="R39" s="705" t="s">
        <v>18</v>
      </c>
      <c r="S39" s="706">
        <f t="shared" si="12"/>
        <v>100</v>
      </c>
      <c r="T39" s="705" t="s">
        <v>18</v>
      </c>
      <c r="U39" s="706">
        <f t="shared" si="13"/>
        <v>100</v>
      </c>
      <c r="V39" s="705" t="s">
        <v>18</v>
      </c>
      <c r="W39" s="706">
        <f t="shared" si="14"/>
        <v>100</v>
      </c>
      <c r="X39" s="1354"/>
      <c r="Y39" s="3746"/>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744"/>
      <c r="Q40" s="1351" t="str">
        <f t="shared" si="11"/>
        <v>房型</v>
      </c>
      <c r="R40" s="705" t="s">
        <v>18</v>
      </c>
      <c r="S40" s="706">
        <f t="shared" si="12"/>
        <v>100</v>
      </c>
      <c r="T40" s="705" t="s">
        <v>18</v>
      </c>
      <c r="U40" s="706">
        <f t="shared" si="13"/>
        <v>100</v>
      </c>
      <c r="V40" s="705" t="s">
        <v>18</v>
      </c>
      <c r="W40" s="706">
        <f t="shared" si="14"/>
        <v>100</v>
      </c>
      <c r="X40" s="1354"/>
      <c r="Y40" s="3746"/>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744"/>
      <c r="Q41" s="707" t="str">
        <f t="shared" si="11"/>
        <v>单套/主力户型建筑面积</v>
      </c>
      <c r="R41" s="708" t="s">
        <v>18</v>
      </c>
      <c r="S41" s="709">
        <f t="shared" si="12"/>
        <v>100</v>
      </c>
      <c r="T41" s="708" t="s">
        <v>18</v>
      </c>
      <c r="U41" s="709">
        <f t="shared" si="13"/>
        <v>100</v>
      </c>
      <c r="V41" s="708" t="s">
        <v>18</v>
      </c>
      <c r="W41" s="709">
        <f t="shared" si="14"/>
        <v>100</v>
      </c>
      <c r="X41" s="710"/>
      <c r="Y41" s="3746"/>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744"/>
      <c r="Q42" s="1351" t="str">
        <f t="shared" si="11"/>
        <v>内部装修</v>
      </c>
      <c r="R42" s="705" t="s">
        <v>18</v>
      </c>
      <c r="S42" s="706">
        <f t="shared" si="12"/>
        <v>100</v>
      </c>
      <c r="T42" s="705" t="s">
        <v>18</v>
      </c>
      <c r="U42" s="706">
        <f t="shared" si="13"/>
        <v>100</v>
      </c>
      <c r="V42" s="705" t="s">
        <v>18</v>
      </c>
      <c r="W42" s="706">
        <f t="shared" si="14"/>
        <v>100</v>
      </c>
      <c r="X42" s="1354"/>
      <c r="Y42" s="3746"/>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744"/>
      <c r="Q43" s="1351" t="str">
        <f t="shared" si="11"/>
        <v>内部装修维护情况</v>
      </c>
      <c r="R43" s="705" t="s">
        <v>18</v>
      </c>
      <c r="S43" s="706">
        <f t="shared" si="12"/>
        <v>100</v>
      </c>
      <c r="T43" s="705" t="s">
        <v>18</v>
      </c>
      <c r="U43" s="706">
        <f t="shared" si="13"/>
        <v>100</v>
      </c>
      <c r="V43" s="705" t="s">
        <v>18</v>
      </c>
      <c r="W43" s="706">
        <f t="shared" si="14"/>
        <v>100</v>
      </c>
      <c r="X43" s="1354"/>
      <c r="Y43" s="3746"/>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744"/>
      <c r="Q44" s="1342">
        <f t="shared" si="11"/>
        <v>111</v>
      </c>
      <c r="R44" s="701" t="s">
        <v>18</v>
      </c>
      <c r="S44" s="702">
        <f t="shared" si="12"/>
        <v>100</v>
      </c>
      <c r="T44" s="701" t="s">
        <v>18</v>
      </c>
      <c r="U44" s="702">
        <f t="shared" si="13"/>
        <v>100</v>
      </c>
      <c r="V44" s="701" t="s">
        <v>18</v>
      </c>
      <c r="W44" s="702">
        <f t="shared" si="14"/>
        <v>100</v>
      </c>
      <c r="X44" s="703"/>
      <c r="Y44" s="3746"/>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744"/>
      <c r="Q45" s="1351">
        <f t="shared" si="11"/>
        <v>111</v>
      </c>
      <c r="R45" s="705" t="s">
        <v>18</v>
      </c>
      <c r="S45" s="706">
        <f t="shared" si="12"/>
        <v>100</v>
      </c>
      <c r="T45" s="705" t="s">
        <v>18</v>
      </c>
      <c r="U45" s="706">
        <f t="shared" si="13"/>
        <v>100</v>
      </c>
      <c r="V45" s="705" t="s">
        <v>18</v>
      </c>
      <c r="W45" s="706">
        <f t="shared" si="14"/>
        <v>100</v>
      </c>
      <c r="X45" s="1354"/>
      <c r="Y45" s="3746"/>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745"/>
      <c r="Q46" s="1351">
        <f t="shared" si="11"/>
        <v>111</v>
      </c>
      <c r="R46" s="705" t="s">
        <v>17</v>
      </c>
      <c r="S46" s="706">
        <f t="shared" si="12"/>
        <v>100</v>
      </c>
      <c r="T46" s="705" t="s">
        <v>17</v>
      </c>
      <c r="U46" s="706">
        <f t="shared" si="13"/>
        <v>100</v>
      </c>
      <c r="V46" s="705" t="s">
        <v>17</v>
      </c>
      <c r="W46" s="706">
        <f t="shared" si="14"/>
        <v>100</v>
      </c>
      <c r="X46" s="1354"/>
      <c r="Y46" s="3747"/>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739" t="str">
        <f>A47</f>
        <v>成交单价（元/平方米）</v>
      </c>
      <c r="Q47" s="3739"/>
      <c r="R47" s="3740">
        <f>E47</f>
        <v>0</v>
      </c>
      <c r="S47" s="3740"/>
      <c r="T47" s="3740">
        <f>G47</f>
        <v>0</v>
      </c>
      <c r="U47" s="3740"/>
      <c r="V47" s="3740">
        <f>I47</f>
        <v>0</v>
      </c>
      <c r="W47" s="3740"/>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739" t="str">
        <f>A48</f>
        <v>比较价值（元/平方米）</v>
      </c>
      <c r="Q48" s="3739"/>
      <c r="R48" s="3740" t="e">
        <f>IF(F1="售价",ROUND(PRODUCT(R47,AA7:AA46),0),ROUND(PRODUCT(R47,AA7:AA46),1))</f>
        <v>#DIV/0!</v>
      </c>
      <c r="S48" s="3740"/>
      <c r="T48" s="3740" t="e">
        <f>IF(F1="售价",ROUND(PRODUCT(T47,AB7:AB46),0),ROUND(PRODUCT(T47,AB7:AB46),1))</f>
        <v>#DIV/0!</v>
      </c>
      <c r="U48" s="3740"/>
      <c r="V48" s="3740" t="e">
        <f>IF(F1="售价",ROUND(PRODUCT(V47,AC7:AC46),0),ROUND(PRODUCT(V47,AC7:AC46),1))</f>
        <v>#DIV/0!</v>
      </c>
      <c r="W48" s="3740"/>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736" t="str">
        <f>A49</f>
        <v>估价对象XX用房的比较价值（楼面单价，元/平方米）</v>
      </c>
      <c r="Q49" s="3737"/>
      <c r="R49" s="3738" t="e">
        <f>IF(F1="售价",ROUND(IF(D48="简单平均",AVERAGE(R48:V48),R48*F48+T48*H48+V48*J48),0),ROUND(IF(D48="简单平均",AVERAGE(R48:V48),R48*F48+T48*H48+V48*J48),1))</f>
        <v>#DIV/0!</v>
      </c>
      <c r="S49" s="3738"/>
      <c r="T49" s="3738"/>
      <c r="U49" s="3738"/>
      <c r="V49" s="3738"/>
      <c r="W49" s="3738"/>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400"/>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17559.11</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09" t="s">
        <v>1753</v>
      </c>
      <c r="S4" s="3710"/>
      <c r="T4" s="3709" t="s">
        <v>1754</v>
      </c>
      <c r="U4" s="3710"/>
      <c r="V4" s="3734" t="s">
        <v>1755</v>
      </c>
      <c r="W4" s="3734"/>
      <c r="X4" s="1354"/>
      <c r="Y4" s="3709" t="s">
        <v>1757</v>
      </c>
      <c r="Z4" s="3710"/>
      <c r="AA4" s="3704" t="s">
        <v>1753</v>
      </c>
      <c r="AB4" s="3734" t="s">
        <v>1754</v>
      </c>
      <c r="AC4" s="3704" t="s">
        <v>1755</v>
      </c>
    </row>
    <row r="5" spans="1:29" ht="15">
      <c r="A5" s="358"/>
      <c r="B5" s="359"/>
      <c r="C5" s="3715" t="s">
        <v>1655</v>
      </c>
      <c r="D5" s="3716"/>
      <c r="E5" s="3713" t="s">
        <v>1656</v>
      </c>
      <c r="F5" s="3714"/>
      <c r="G5" s="3715" t="s">
        <v>1657</v>
      </c>
      <c r="H5" s="3716"/>
      <c r="I5" s="3715" t="s">
        <v>1658</v>
      </c>
      <c r="J5" s="3716"/>
      <c r="K5" s="559"/>
      <c r="L5" s="2689"/>
      <c r="M5" s="2690"/>
      <c r="N5" s="2690"/>
      <c r="O5" s="2690"/>
      <c r="P5" s="3728"/>
      <c r="Q5" s="3729"/>
      <c r="R5" s="3711"/>
      <c r="S5" s="3712"/>
      <c r="T5" s="3711"/>
      <c r="U5" s="3712"/>
      <c r="V5" s="3734"/>
      <c r="W5" s="3734"/>
      <c r="X5" s="1354"/>
      <c r="Y5" s="3711"/>
      <c r="Z5" s="3712"/>
      <c r="AA5" s="3705"/>
      <c r="AB5" s="3734"/>
      <c r="AC5" s="3705"/>
    </row>
    <row r="6" spans="1:29" ht="15.75" thickBot="1">
      <c r="A6" s="360"/>
      <c r="B6" s="361"/>
      <c r="C6" s="3717" t="s">
        <v>1659</v>
      </c>
      <c r="D6" s="3718"/>
      <c r="E6" s="3719" t="s">
        <v>1659</v>
      </c>
      <c r="F6" s="3720"/>
      <c r="G6" s="3717" t="s">
        <v>1659</v>
      </c>
      <c r="H6" s="3718"/>
      <c r="I6" s="3717" t="s">
        <v>1659</v>
      </c>
      <c r="J6" s="3718"/>
      <c r="K6" s="559" t="s">
        <v>1660</v>
      </c>
      <c r="L6" s="2689"/>
      <c r="M6" s="2690"/>
      <c r="N6" s="2690"/>
      <c r="O6" s="2690"/>
      <c r="P6" s="3730"/>
      <c r="Q6" s="3731"/>
      <c r="R6" s="3711"/>
      <c r="S6" s="3712"/>
      <c r="T6" s="3732"/>
      <c r="U6" s="3733"/>
      <c r="V6" s="3734"/>
      <c r="W6" s="3734"/>
      <c r="X6" s="1354"/>
      <c r="Y6" s="3732"/>
      <c r="Z6" s="3733"/>
      <c r="AA6" s="3706"/>
      <c r="AB6" s="3734"/>
      <c r="AC6" s="3706"/>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707" t="s">
        <v>1662</v>
      </c>
      <c r="Q7" s="3735"/>
      <c r="R7" s="701" t="s">
        <v>14</v>
      </c>
      <c r="S7" s="702">
        <f t="shared" ref="S7:S15" si="0">F7</f>
        <v>0</v>
      </c>
      <c r="T7" s="701" t="s">
        <v>14</v>
      </c>
      <c r="U7" s="702">
        <f t="shared" ref="U7:U15" si="1">H7</f>
        <v>0</v>
      </c>
      <c r="V7" s="701" t="s">
        <v>14</v>
      </c>
      <c r="W7" s="702">
        <f t="shared" ref="W7:W15" si="2">J7</f>
        <v>0</v>
      </c>
      <c r="X7" s="703"/>
      <c r="Y7" s="3707" t="s">
        <v>1662</v>
      </c>
      <c r="Z7" s="3708"/>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707" t="s">
        <v>1665</v>
      </c>
      <c r="Q8" s="3708"/>
      <c r="R8" s="701" t="s">
        <v>14</v>
      </c>
      <c r="S8" s="702">
        <f t="shared" si="0"/>
        <v>100</v>
      </c>
      <c r="T8" s="701" t="s">
        <v>14</v>
      </c>
      <c r="U8" s="702">
        <f t="shared" si="1"/>
        <v>100</v>
      </c>
      <c r="V8" s="701" t="s">
        <v>14</v>
      </c>
      <c r="W8" s="702">
        <f t="shared" si="2"/>
        <v>100</v>
      </c>
      <c r="X8" s="703"/>
      <c r="Y8" s="3707" t="s">
        <v>1665</v>
      </c>
      <c r="Z8" s="3708"/>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721" t="s">
        <v>1668</v>
      </c>
      <c r="Q9" s="1342" t="str">
        <f t="shared" ref="Q9:Q15" si="6">B9</f>
        <v>用途</v>
      </c>
      <c r="R9" s="701" t="s">
        <v>14</v>
      </c>
      <c r="S9" s="702">
        <f t="shared" si="0"/>
        <v>100</v>
      </c>
      <c r="T9" s="701" t="s">
        <v>14</v>
      </c>
      <c r="U9" s="702">
        <f t="shared" si="1"/>
        <v>100</v>
      </c>
      <c r="V9" s="701" t="s">
        <v>14</v>
      </c>
      <c r="W9" s="702">
        <f t="shared" si="2"/>
        <v>100</v>
      </c>
      <c r="X9" s="703"/>
      <c r="Y9" s="3651"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560"/>
      <c r="L10" s="2693"/>
      <c r="M10" s="2694"/>
      <c r="N10" s="2694"/>
      <c r="O10" s="2694"/>
      <c r="P10" s="3721"/>
      <c r="Q10" s="1342" t="str">
        <f t="shared" si="6"/>
        <v>土地使用年限（年）</v>
      </c>
      <c r="R10" s="701" t="s">
        <v>14</v>
      </c>
      <c r="S10" s="702">
        <f t="shared" si="0"/>
        <v>100</v>
      </c>
      <c r="T10" s="701" t="s">
        <v>14</v>
      </c>
      <c r="U10" s="702">
        <f t="shared" si="1"/>
        <v>100</v>
      </c>
      <c r="V10" s="701" t="s">
        <v>14</v>
      </c>
      <c r="W10" s="702">
        <f t="shared" si="2"/>
        <v>100</v>
      </c>
      <c r="X10" s="703"/>
      <c r="Y10" s="3651"/>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721"/>
      <c r="Q11" s="1342" t="str">
        <f t="shared" si="6"/>
        <v>容积率</v>
      </c>
      <c r="R11" s="701" t="s">
        <v>14</v>
      </c>
      <c r="S11" s="702" t="e">
        <f t="shared" si="0"/>
        <v>#N/A</v>
      </c>
      <c r="T11" s="701" t="s">
        <v>14</v>
      </c>
      <c r="U11" s="702" t="e">
        <f t="shared" si="1"/>
        <v>#N/A</v>
      </c>
      <c r="V11" s="701" t="s">
        <v>14</v>
      </c>
      <c r="W11" s="702" t="e">
        <f t="shared" si="2"/>
        <v>#N/A</v>
      </c>
      <c r="X11" s="703"/>
      <c r="Y11" s="3651"/>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721"/>
      <c r="Q12" s="1342">
        <f t="shared" si="6"/>
        <v>111</v>
      </c>
      <c r="R12" s="701" t="s">
        <v>14</v>
      </c>
      <c r="S12" s="702">
        <f t="shared" si="0"/>
        <v>100</v>
      </c>
      <c r="T12" s="701" t="s">
        <v>14</v>
      </c>
      <c r="U12" s="702">
        <f t="shared" si="1"/>
        <v>100</v>
      </c>
      <c r="V12" s="701" t="s">
        <v>14</v>
      </c>
      <c r="W12" s="702">
        <f t="shared" si="2"/>
        <v>100</v>
      </c>
      <c r="X12" s="703"/>
      <c r="Y12" s="3651"/>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721"/>
      <c r="Q13" s="1342">
        <f t="shared" si="6"/>
        <v>111</v>
      </c>
      <c r="R13" s="701" t="s">
        <v>14</v>
      </c>
      <c r="S13" s="702">
        <f t="shared" si="0"/>
        <v>100</v>
      </c>
      <c r="T13" s="701" t="s">
        <v>14</v>
      </c>
      <c r="U13" s="702">
        <f t="shared" si="1"/>
        <v>100</v>
      </c>
      <c r="V13" s="701" t="s">
        <v>14</v>
      </c>
      <c r="W13" s="702">
        <f t="shared" si="2"/>
        <v>100</v>
      </c>
      <c r="X13" s="703"/>
      <c r="Y13" s="3651"/>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721"/>
      <c r="Q14" s="1342">
        <f t="shared" si="6"/>
        <v>111</v>
      </c>
      <c r="R14" s="701" t="s">
        <v>14</v>
      </c>
      <c r="S14" s="702">
        <f t="shared" si="0"/>
        <v>100</v>
      </c>
      <c r="T14" s="701" t="s">
        <v>14</v>
      </c>
      <c r="U14" s="702">
        <f t="shared" si="1"/>
        <v>100</v>
      </c>
      <c r="V14" s="701" t="s">
        <v>14</v>
      </c>
      <c r="W14" s="702">
        <f t="shared" si="2"/>
        <v>100</v>
      </c>
      <c r="X14" s="703"/>
      <c r="Y14" s="3651"/>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748" t="s">
        <v>1673</v>
      </c>
      <c r="Q15" s="1351" t="str">
        <f t="shared" si="6"/>
        <v>商业繁华度</v>
      </c>
      <c r="R15" s="705" t="s">
        <v>14</v>
      </c>
      <c r="S15" s="706">
        <f t="shared" si="0"/>
        <v>100</v>
      </c>
      <c r="T15" s="705" t="s">
        <v>14</v>
      </c>
      <c r="U15" s="706">
        <f t="shared" si="1"/>
        <v>100</v>
      </c>
      <c r="V15" s="705" t="s">
        <v>14</v>
      </c>
      <c r="W15" s="706">
        <f t="shared" si="2"/>
        <v>100</v>
      </c>
      <c r="X15" s="1354"/>
      <c r="Y15" s="3741"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49"/>
      <c r="Q16" s="1351"/>
      <c r="R16" s="705"/>
      <c r="S16" s="706"/>
      <c r="T16" s="705"/>
      <c r="U16" s="706"/>
      <c r="V16" s="705"/>
      <c r="W16" s="706"/>
      <c r="X16" s="1354"/>
      <c r="Y16" s="3742"/>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49"/>
      <c r="Q17" s="1351" t="str">
        <f>B17</f>
        <v>交通便捷度</v>
      </c>
      <c r="R17" s="705" t="s">
        <v>14</v>
      </c>
      <c r="S17" s="706">
        <f>F17</f>
        <v>100</v>
      </c>
      <c r="T17" s="705" t="s">
        <v>14</v>
      </c>
      <c r="U17" s="706">
        <f>H17</f>
        <v>100</v>
      </c>
      <c r="V17" s="705" t="s">
        <v>14</v>
      </c>
      <c r="W17" s="706">
        <f>J17</f>
        <v>100</v>
      </c>
      <c r="X17" s="1354"/>
      <c r="Y17" s="3742"/>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49"/>
      <c r="Q18" s="1351"/>
      <c r="R18" s="705"/>
      <c r="S18" s="706"/>
      <c r="T18" s="705"/>
      <c r="U18" s="706"/>
      <c r="V18" s="705"/>
      <c r="W18" s="706"/>
      <c r="X18" s="1354"/>
      <c r="Y18" s="3742"/>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49"/>
      <c r="Q19" s="1351" t="str">
        <f>B19</f>
        <v>公共配套设施</v>
      </c>
      <c r="R19" s="705" t="s">
        <v>14</v>
      </c>
      <c r="S19" s="706">
        <f>F19</f>
        <v>100</v>
      </c>
      <c r="T19" s="705" t="s">
        <v>14</v>
      </c>
      <c r="U19" s="706">
        <f>H19</f>
        <v>100</v>
      </c>
      <c r="V19" s="705" t="s">
        <v>14</v>
      </c>
      <c r="W19" s="706">
        <f>J19</f>
        <v>100</v>
      </c>
      <c r="X19" s="1354"/>
      <c r="Y19" s="3742"/>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49"/>
      <c r="Q20" s="1351"/>
      <c r="R20" s="705"/>
      <c r="S20" s="706"/>
      <c r="T20" s="705"/>
      <c r="U20" s="706"/>
      <c r="V20" s="705"/>
      <c r="W20" s="706"/>
      <c r="X20" s="1354"/>
      <c r="Y20" s="3742"/>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49"/>
      <c r="Q21" s="1351" t="str">
        <f>B21</f>
        <v>基础设施水平</v>
      </c>
      <c r="R21" s="705" t="s">
        <v>14</v>
      </c>
      <c r="S21" s="706">
        <f>F21</f>
        <v>100</v>
      </c>
      <c r="T21" s="705" t="s">
        <v>14</v>
      </c>
      <c r="U21" s="706">
        <f>H21</f>
        <v>100</v>
      </c>
      <c r="V21" s="705" t="s">
        <v>14</v>
      </c>
      <c r="W21" s="706">
        <f>J21</f>
        <v>100</v>
      </c>
      <c r="X21" s="1354"/>
      <c r="Y21" s="3742"/>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49"/>
      <c r="Q22" s="1351"/>
      <c r="R22" s="705"/>
      <c r="S22" s="706"/>
      <c r="T22" s="705"/>
      <c r="U22" s="706"/>
      <c r="V22" s="705"/>
      <c r="W22" s="706"/>
      <c r="X22" s="1354"/>
      <c r="Y22" s="3742"/>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49"/>
      <c r="Q23" s="1351" t="str">
        <f>B23</f>
        <v>自然及人文环境</v>
      </c>
      <c r="R23" s="705" t="s">
        <v>14</v>
      </c>
      <c r="S23" s="706">
        <f>F23</f>
        <v>100</v>
      </c>
      <c r="T23" s="705" t="s">
        <v>14</v>
      </c>
      <c r="U23" s="706">
        <f>H23</f>
        <v>100</v>
      </c>
      <c r="V23" s="705" t="s">
        <v>14</v>
      </c>
      <c r="W23" s="706">
        <f>J23</f>
        <v>100</v>
      </c>
      <c r="X23" s="1354"/>
      <c r="Y23" s="3742"/>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49"/>
      <c r="Q24" s="1351"/>
      <c r="R24" s="705"/>
      <c r="S24" s="706"/>
      <c r="T24" s="705"/>
      <c r="U24" s="706"/>
      <c r="V24" s="705"/>
      <c r="W24" s="706"/>
      <c r="X24" s="1354"/>
      <c r="Y24" s="3742"/>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49"/>
      <c r="Q25" s="1351" t="str">
        <f t="shared" ref="Q25:Q46" si="11">B25</f>
        <v>临街状况</v>
      </c>
      <c r="R25" s="705" t="s">
        <v>14</v>
      </c>
      <c r="S25" s="706">
        <f>F25</f>
        <v>100</v>
      </c>
      <c r="T25" s="705" t="s">
        <v>14</v>
      </c>
      <c r="U25" s="706">
        <f>H25</f>
        <v>100</v>
      </c>
      <c r="V25" s="705" t="s">
        <v>14</v>
      </c>
      <c r="W25" s="706">
        <f>J25</f>
        <v>100</v>
      </c>
      <c r="X25" s="1354"/>
      <c r="Y25" s="3742"/>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49"/>
      <c r="Q26" s="1351" t="str">
        <f t="shared" si="11"/>
        <v>平面位置/可视性</v>
      </c>
      <c r="R26" s="705" t="s">
        <v>14</v>
      </c>
      <c r="S26" s="706">
        <f>F26</f>
        <v>100</v>
      </c>
      <c r="T26" s="705" t="s">
        <v>14</v>
      </c>
      <c r="U26" s="706">
        <f>H26</f>
        <v>100</v>
      </c>
      <c r="V26" s="705" t="s">
        <v>14</v>
      </c>
      <c r="W26" s="706">
        <f>J26</f>
        <v>100</v>
      </c>
      <c r="X26" s="1354"/>
      <c r="Y26" s="3742"/>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49"/>
      <c r="Q27" s="1342" t="str">
        <f t="shared" si="11"/>
        <v>人流量</v>
      </c>
      <c r="R27" s="701" t="s">
        <v>14</v>
      </c>
      <c r="S27" s="702">
        <f>F27</f>
        <v>100</v>
      </c>
      <c r="T27" s="701" t="s">
        <v>14</v>
      </c>
      <c r="U27" s="702">
        <f>H27</f>
        <v>100</v>
      </c>
      <c r="V27" s="701" t="s">
        <v>14</v>
      </c>
      <c r="W27" s="702">
        <f>J27</f>
        <v>100</v>
      </c>
      <c r="X27" s="703"/>
      <c r="Y27" s="3742"/>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49"/>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742"/>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49"/>
      <c r="Q29" s="1351">
        <f t="shared" si="11"/>
        <v>111</v>
      </c>
      <c r="R29" s="705" t="s">
        <v>14</v>
      </c>
      <c r="S29" s="706">
        <f t="shared" si="12"/>
        <v>100</v>
      </c>
      <c r="T29" s="705" t="s">
        <v>14</v>
      </c>
      <c r="U29" s="706">
        <f t="shared" si="13"/>
        <v>100</v>
      </c>
      <c r="V29" s="705" t="s">
        <v>14</v>
      </c>
      <c r="W29" s="706">
        <f t="shared" si="14"/>
        <v>100</v>
      </c>
      <c r="X29" s="1354"/>
      <c r="Y29" s="3742"/>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49"/>
      <c r="Q30" s="1351">
        <f t="shared" si="11"/>
        <v>111</v>
      </c>
      <c r="R30" s="705" t="s">
        <v>14</v>
      </c>
      <c r="S30" s="706">
        <f t="shared" si="12"/>
        <v>100</v>
      </c>
      <c r="T30" s="705" t="s">
        <v>14</v>
      </c>
      <c r="U30" s="706">
        <f t="shared" si="13"/>
        <v>100</v>
      </c>
      <c r="V30" s="705" t="s">
        <v>14</v>
      </c>
      <c r="W30" s="706">
        <f t="shared" si="14"/>
        <v>100</v>
      </c>
      <c r="X30" s="1354"/>
      <c r="Y30" s="3742"/>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49"/>
      <c r="Q31" s="1351">
        <f t="shared" si="11"/>
        <v>111</v>
      </c>
      <c r="R31" s="705" t="s">
        <v>14</v>
      </c>
      <c r="S31" s="706">
        <f t="shared" si="12"/>
        <v>100</v>
      </c>
      <c r="T31" s="705" t="s">
        <v>14</v>
      </c>
      <c r="U31" s="706">
        <f t="shared" si="13"/>
        <v>100</v>
      </c>
      <c r="V31" s="705" t="s">
        <v>14</v>
      </c>
      <c r="W31" s="706">
        <f t="shared" si="14"/>
        <v>100</v>
      </c>
      <c r="X31" s="1354"/>
      <c r="Y31" s="3742"/>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743" t="s">
        <v>1678</v>
      </c>
      <c r="Q32" s="1351" t="str">
        <f t="shared" si="11"/>
        <v>商业类型</v>
      </c>
      <c r="R32" s="705" t="s">
        <v>14</v>
      </c>
      <c r="S32" s="706">
        <f t="shared" si="12"/>
        <v>100</v>
      </c>
      <c r="T32" s="705" t="s">
        <v>14</v>
      </c>
      <c r="U32" s="706">
        <f t="shared" si="13"/>
        <v>100</v>
      </c>
      <c r="V32" s="705" t="s">
        <v>14</v>
      </c>
      <c r="W32" s="706">
        <f t="shared" si="14"/>
        <v>100</v>
      </c>
      <c r="X32" s="1354"/>
      <c r="Y32" s="3746"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744"/>
      <c r="Q33" s="707" t="str">
        <f t="shared" si="11"/>
        <v>项目建筑规模</v>
      </c>
      <c r="R33" s="708" t="s">
        <v>14</v>
      </c>
      <c r="S33" s="709" t="e">
        <f t="shared" si="12"/>
        <v>#N/A</v>
      </c>
      <c r="T33" s="708" t="s">
        <v>14</v>
      </c>
      <c r="U33" s="709" t="e">
        <f t="shared" si="13"/>
        <v>#N/A</v>
      </c>
      <c r="V33" s="708" t="s">
        <v>14</v>
      </c>
      <c r="W33" s="709" t="e">
        <f t="shared" si="14"/>
        <v>#N/A</v>
      </c>
      <c r="X33" s="710"/>
      <c r="Y33" s="3746"/>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744"/>
      <c r="Q34" s="1351" t="str">
        <f t="shared" si="11"/>
        <v>建筑结构</v>
      </c>
      <c r="R34" s="705" t="s">
        <v>14</v>
      </c>
      <c r="S34" s="706">
        <f t="shared" si="12"/>
        <v>100</v>
      </c>
      <c r="T34" s="705" t="s">
        <v>14</v>
      </c>
      <c r="U34" s="706">
        <f t="shared" si="13"/>
        <v>100</v>
      </c>
      <c r="V34" s="705" t="s">
        <v>14</v>
      </c>
      <c r="W34" s="706">
        <f t="shared" si="14"/>
        <v>100</v>
      </c>
      <c r="X34" s="1354"/>
      <c r="Y34" s="3746"/>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744"/>
      <c r="Q35" s="1351" t="str">
        <f t="shared" si="11"/>
        <v>公共部分装修</v>
      </c>
      <c r="R35" s="705" t="s">
        <v>14</v>
      </c>
      <c r="S35" s="706">
        <f t="shared" si="12"/>
        <v>100</v>
      </c>
      <c r="T35" s="705" t="s">
        <v>14</v>
      </c>
      <c r="U35" s="706">
        <f t="shared" si="13"/>
        <v>100</v>
      </c>
      <c r="V35" s="705" t="s">
        <v>14</v>
      </c>
      <c r="W35" s="706">
        <f t="shared" si="14"/>
        <v>100</v>
      </c>
      <c r="X35" s="1354"/>
      <c r="Y35" s="3746"/>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744"/>
      <c r="Q36" s="1351" t="str">
        <f t="shared" si="11"/>
        <v>成新度</v>
      </c>
      <c r="R36" s="705" t="s">
        <v>14</v>
      </c>
      <c r="S36" s="706" t="e">
        <f t="shared" si="12"/>
        <v>#N/A</v>
      </c>
      <c r="T36" s="705" t="s">
        <v>14</v>
      </c>
      <c r="U36" s="706" t="e">
        <f t="shared" si="13"/>
        <v>#N/A</v>
      </c>
      <c r="V36" s="705" t="s">
        <v>14</v>
      </c>
      <c r="W36" s="706" t="e">
        <f t="shared" si="14"/>
        <v>#N/A</v>
      </c>
      <c r="X36" s="1354"/>
      <c r="Y36" s="3746"/>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744"/>
      <c r="Q37" s="1342" t="str">
        <f t="shared" si="11"/>
        <v>市政基础设施</v>
      </c>
      <c r="R37" s="701" t="s">
        <v>14</v>
      </c>
      <c r="S37" s="702">
        <f t="shared" si="12"/>
        <v>100</v>
      </c>
      <c r="T37" s="701" t="s">
        <v>14</v>
      </c>
      <c r="U37" s="702">
        <f t="shared" si="13"/>
        <v>100</v>
      </c>
      <c r="V37" s="701" t="s">
        <v>14</v>
      </c>
      <c r="W37" s="702">
        <f t="shared" si="14"/>
        <v>100</v>
      </c>
      <c r="X37" s="703"/>
      <c r="Y37" s="3746"/>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744" t="s">
        <v>1678</v>
      </c>
      <c r="Q38" s="1351" t="str">
        <f t="shared" si="11"/>
        <v>业态</v>
      </c>
      <c r="R38" s="705" t="s">
        <v>14</v>
      </c>
      <c r="S38" s="706">
        <f t="shared" si="12"/>
        <v>100</v>
      </c>
      <c r="T38" s="705" t="s">
        <v>14</v>
      </c>
      <c r="U38" s="706">
        <f t="shared" si="13"/>
        <v>100</v>
      </c>
      <c r="V38" s="705" t="s">
        <v>14</v>
      </c>
      <c r="W38" s="706">
        <f t="shared" si="14"/>
        <v>100</v>
      </c>
      <c r="X38" s="1354"/>
      <c r="Y38" s="3746"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744"/>
      <c r="Q39" s="1351" t="str">
        <f t="shared" si="11"/>
        <v>层高</v>
      </c>
      <c r="R39" s="705" t="s">
        <v>14</v>
      </c>
      <c r="S39" s="706">
        <f t="shared" si="12"/>
        <v>100</v>
      </c>
      <c r="T39" s="705" t="s">
        <v>14</v>
      </c>
      <c r="U39" s="706">
        <f t="shared" si="13"/>
        <v>100</v>
      </c>
      <c r="V39" s="705" t="s">
        <v>14</v>
      </c>
      <c r="W39" s="706">
        <f t="shared" si="14"/>
        <v>100</v>
      </c>
      <c r="X39" s="1354"/>
      <c r="Y39" s="3746"/>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744"/>
      <c r="Q40" s="1351" t="str">
        <f t="shared" si="11"/>
        <v>单套建筑面积</v>
      </c>
      <c r="R40" s="705" t="s">
        <v>14</v>
      </c>
      <c r="S40" s="706">
        <f t="shared" si="12"/>
        <v>100</v>
      </c>
      <c r="T40" s="705" t="s">
        <v>14</v>
      </c>
      <c r="U40" s="706">
        <f t="shared" si="13"/>
        <v>100</v>
      </c>
      <c r="V40" s="705" t="s">
        <v>14</v>
      </c>
      <c r="W40" s="706">
        <f t="shared" si="14"/>
        <v>100</v>
      </c>
      <c r="X40" s="1354"/>
      <c r="Y40" s="3746"/>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744"/>
      <c r="Q41" s="707" t="str">
        <f t="shared" si="11"/>
        <v>进深比</v>
      </c>
      <c r="R41" s="708" t="s">
        <v>14</v>
      </c>
      <c r="S41" s="709">
        <f t="shared" si="12"/>
        <v>100</v>
      </c>
      <c r="T41" s="708" t="s">
        <v>14</v>
      </c>
      <c r="U41" s="709">
        <f t="shared" si="13"/>
        <v>100</v>
      </c>
      <c r="V41" s="708" t="s">
        <v>14</v>
      </c>
      <c r="W41" s="709">
        <f t="shared" si="14"/>
        <v>100</v>
      </c>
      <c r="X41" s="710"/>
      <c r="Y41" s="3746"/>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744"/>
      <c r="Q42" s="1351" t="str">
        <f t="shared" si="11"/>
        <v>内部装修</v>
      </c>
      <c r="R42" s="705" t="s">
        <v>14</v>
      </c>
      <c r="S42" s="706">
        <f t="shared" si="12"/>
        <v>100</v>
      </c>
      <c r="T42" s="705" t="s">
        <v>14</v>
      </c>
      <c r="U42" s="706">
        <f t="shared" si="13"/>
        <v>100</v>
      </c>
      <c r="V42" s="705" t="s">
        <v>14</v>
      </c>
      <c r="W42" s="706">
        <f t="shared" si="14"/>
        <v>100</v>
      </c>
      <c r="X42" s="1354"/>
      <c r="Y42" s="3746"/>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744"/>
      <c r="Q43" s="1351" t="str">
        <f t="shared" si="11"/>
        <v>内部装修维护情况</v>
      </c>
      <c r="R43" s="705" t="s">
        <v>14</v>
      </c>
      <c r="S43" s="706">
        <f t="shared" si="12"/>
        <v>100</v>
      </c>
      <c r="T43" s="705" t="s">
        <v>14</v>
      </c>
      <c r="U43" s="706">
        <f t="shared" si="13"/>
        <v>100</v>
      </c>
      <c r="V43" s="705" t="s">
        <v>14</v>
      </c>
      <c r="W43" s="706">
        <f t="shared" si="14"/>
        <v>100</v>
      </c>
      <c r="X43" s="1354"/>
      <c r="Y43" s="3746"/>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744"/>
      <c r="Q44" s="1342">
        <f t="shared" si="11"/>
        <v>111</v>
      </c>
      <c r="R44" s="701" t="s">
        <v>14</v>
      </c>
      <c r="S44" s="702">
        <f t="shared" si="12"/>
        <v>100</v>
      </c>
      <c r="T44" s="701" t="s">
        <v>14</v>
      </c>
      <c r="U44" s="702">
        <f t="shared" si="13"/>
        <v>100</v>
      </c>
      <c r="V44" s="701" t="s">
        <v>14</v>
      </c>
      <c r="W44" s="702">
        <f t="shared" si="14"/>
        <v>100</v>
      </c>
      <c r="X44" s="703"/>
      <c r="Y44" s="3746"/>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744"/>
      <c r="Q45" s="1351">
        <f t="shared" si="11"/>
        <v>111</v>
      </c>
      <c r="R45" s="705" t="s">
        <v>14</v>
      </c>
      <c r="S45" s="706">
        <f t="shared" si="12"/>
        <v>100</v>
      </c>
      <c r="T45" s="705" t="s">
        <v>14</v>
      </c>
      <c r="U45" s="706">
        <f t="shared" si="13"/>
        <v>100</v>
      </c>
      <c r="V45" s="705" t="s">
        <v>14</v>
      </c>
      <c r="W45" s="706">
        <f t="shared" si="14"/>
        <v>100</v>
      </c>
      <c r="X45" s="1354"/>
      <c r="Y45" s="3746"/>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745"/>
      <c r="Q46" s="1351">
        <f t="shared" si="11"/>
        <v>111</v>
      </c>
      <c r="R46" s="705" t="s">
        <v>14</v>
      </c>
      <c r="S46" s="706">
        <f t="shared" si="12"/>
        <v>100</v>
      </c>
      <c r="T46" s="705" t="s">
        <v>14</v>
      </c>
      <c r="U46" s="706">
        <f t="shared" si="13"/>
        <v>100</v>
      </c>
      <c r="V46" s="705" t="s">
        <v>14</v>
      </c>
      <c r="W46" s="706">
        <f t="shared" si="14"/>
        <v>100</v>
      </c>
      <c r="X46" s="1354"/>
      <c r="Y46" s="3747"/>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739" t="str">
        <f>A47</f>
        <v>成交单价（元/平方米）</v>
      </c>
      <c r="Q47" s="3739"/>
      <c r="R47" s="3734">
        <f>E47</f>
        <v>0</v>
      </c>
      <c r="S47" s="3734"/>
      <c r="T47" s="3734">
        <f>G47</f>
        <v>0</v>
      </c>
      <c r="U47" s="3734"/>
      <c r="V47" s="3734">
        <f>I47</f>
        <v>0</v>
      </c>
      <c r="W47" s="3734"/>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739" t="str">
        <f>A48</f>
        <v>比较价值（元/平方米）</v>
      </c>
      <c r="Q48" s="3739"/>
      <c r="R48" s="3740" t="e">
        <f>IF(F1="售价",ROUND(PRODUCT(R47,AA7:AA46),0),ROUND(PRODUCT(R47,AA7:AA46),1))</f>
        <v>#DIV/0!</v>
      </c>
      <c r="S48" s="3740"/>
      <c r="T48" s="3740" t="e">
        <f>IF(F1="售价",ROUND(PRODUCT(T47,AB7:AB46),0),ROUND(PRODUCT(T47,AB7:AB46),1))</f>
        <v>#DIV/0!</v>
      </c>
      <c r="U48" s="3740"/>
      <c r="V48" s="3740" t="e">
        <f>IF(F1="售价",ROUND(PRODUCT(V47,AC7:AC46),0),ROUND(PRODUCT(V47,AC7:AC46),1))</f>
        <v>#DIV/0!</v>
      </c>
      <c r="W48" s="3740"/>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736" t="str">
        <f>A49</f>
        <v>估价对象XX用房的比较价值（楼面单价，元/平方米）</v>
      </c>
      <c r="Q49" s="3737"/>
      <c r="R49" s="3738" t="e">
        <f>IF(F1="售价",ROUND(IF(D48="简单平均",AVERAGE(R48:V48),R48*F48+T48*H48+V48*J48),0),ROUND(IF(D48="简单平均",AVERAGE(R48:V48),R48*F48+T48*H48+V48*J48),1))</f>
        <v>#DIV/0!</v>
      </c>
      <c r="S49" s="3738"/>
      <c r="T49" s="3738"/>
      <c r="U49" s="3738"/>
      <c r="V49" s="3738"/>
      <c r="W49" s="3738"/>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17559.11</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56" t="s">
        <v>1757</v>
      </c>
      <c r="Q4" s="3757"/>
      <c r="R4" s="3751" t="s">
        <v>1753</v>
      </c>
      <c r="S4" s="3752"/>
      <c r="T4" s="3751" t="s">
        <v>1754</v>
      </c>
      <c r="U4" s="3752"/>
      <c r="V4" s="3760" t="s">
        <v>1755</v>
      </c>
      <c r="W4" s="3760"/>
      <c r="X4" s="1957"/>
      <c r="Y4" s="3751" t="s">
        <v>1757</v>
      </c>
      <c r="Z4" s="3752"/>
      <c r="AA4" s="3750" t="s">
        <v>1753</v>
      </c>
      <c r="AB4" s="3750" t="s">
        <v>1754</v>
      </c>
      <c r="AC4" s="3753" t="s">
        <v>1755</v>
      </c>
    </row>
    <row r="5" spans="1:29" ht="15">
      <c r="A5" s="358"/>
      <c r="B5" s="359"/>
      <c r="C5" s="3715" t="s">
        <v>1655</v>
      </c>
      <c r="D5" s="3716"/>
      <c r="E5" s="3713" t="s">
        <v>1656</v>
      </c>
      <c r="F5" s="3714"/>
      <c r="G5" s="3715" t="s">
        <v>1657</v>
      </c>
      <c r="H5" s="3716"/>
      <c r="I5" s="3715" t="s">
        <v>1658</v>
      </c>
      <c r="J5" s="3716"/>
      <c r="K5" s="559"/>
      <c r="L5" s="2689"/>
      <c r="M5" s="2690"/>
      <c r="N5" s="2690"/>
      <c r="O5" s="2690"/>
      <c r="P5" s="3758"/>
      <c r="Q5" s="3729"/>
      <c r="R5" s="3711"/>
      <c r="S5" s="3712"/>
      <c r="T5" s="3711"/>
      <c r="U5" s="3712"/>
      <c r="V5" s="3734"/>
      <c r="W5" s="3734"/>
      <c r="X5" s="1354"/>
      <c r="Y5" s="3711"/>
      <c r="Z5" s="3712"/>
      <c r="AA5" s="3705"/>
      <c r="AB5" s="3705"/>
      <c r="AC5" s="3754"/>
    </row>
    <row r="6" spans="1:29" ht="15.75" thickBot="1">
      <c r="A6" s="360"/>
      <c r="B6" s="361"/>
      <c r="C6" s="3717" t="s">
        <v>1659</v>
      </c>
      <c r="D6" s="3718"/>
      <c r="E6" s="3719" t="s">
        <v>1659</v>
      </c>
      <c r="F6" s="3720"/>
      <c r="G6" s="3717" t="s">
        <v>1659</v>
      </c>
      <c r="H6" s="3718"/>
      <c r="I6" s="3717" t="s">
        <v>1659</v>
      </c>
      <c r="J6" s="3718"/>
      <c r="K6" s="559" t="s">
        <v>1660</v>
      </c>
      <c r="L6" s="2689"/>
      <c r="M6" s="2690"/>
      <c r="N6" s="2690"/>
      <c r="O6" s="2690"/>
      <c r="P6" s="3759"/>
      <c r="Q6" s="3731"/>
      <c r="R6" s="3711"/>
      <c r="S6" s="3712"/>
      <c r="T6" s="3732"/>
      <c r="U6" s="3733"/>
      <c r="V6" s="3734"/>
      <c r="W6" s="3734"/>
      <c r="X6" s="1354"/>
      <c r="Y6" s="3732"/>
      <c r="Z6" s="3733"/>
      <c r="AA6" s="3706"/>
      <c r="AB6" s="3706"/>
      <c r="AC6" s="3755"/>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61" t="s">
        <v>1662</v>
      </c>
      <c r="Q7" s="3735"/>
      <c r="R7" s="701" t="s">
        <v>14</v>
      </c>
      <c r="S7" s="702">
        <f t="shared" ref="S7:S15" si="0">F7</f>
        <v>0</v>
      </c>
      <c r="T7" s="701" t="s">
        <v>14</v>
      </c>
      <c r="U7" s="702">
        <f t="shared" ref="U7:U15" si="1">H7</f>
        <v>0</v>
      </c>
      <c r="V7" s="701" t="s">
        <v>14</v>
      </c>
      <c r="W7" s="702">
        <f t="shared" ref="W7:W15" si="2">J7</f>
        <v>0</v>
      </c>
      <c r="X7" s="703"/>
      <c r="Y7" s="3707" t="s">
        <v>1662</v>
      </c>
      <c r="Z7" s="3708"/>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61" t="s">
        <v>1665</v>
      </c>
      <c r="Q8" s="3708"/>
      <c r="R8" s="701" t="s">
        <v>14</v>
      </c>
      <c r="S8" s="702">
        <f t="shared" si="0"/>
        <v>100</v>
      </c>
      <c r="T8" s="701" t="s">
        <v>14</v>
      </c>
      <c r="U8" s="702">
        <f t="shared" si="1"/>
        <v>100</v>
      </c>
      <c r="V8" s="701" t="s">
        <v>14</v>
      </c>
      <c r="W8" s="702">
        <f t="shared" si="2"/>
        <v>100</v>
      </c>
      <c r="X8" s="703"/>
      <c r="Y8" s="3707" t="s">
        <v>1665</v>
      </c>
      <c r="Z8" s="3708"/>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721" t="s">
        <v>1668</v>
      </c>
      <c r="Q9" s="1342" t="str">
        <f t="shared" ref="Q9:Q15" si="6">B9</f>
        <v>用途</v>
      </c>
      <c r="R9" s="701" t="s">
        <v>14</v>
      </c>
      <c r="S9" s="702">
        <f t="shared" si="0"/>
        <v>100</v>
      </c>
      <c r="T9" s="701" t="s">
        <v>14</v>
      </c>
      <c r="U9" s="702">
        <f t="shared" si="1"/>
        <v>100</v>
      </c>
      <c r="V9" s="701" t="s">
        <v>14</v>
      </c>
      <c r="W9" s="702">
        <f t="shared" si="2"/>
        <v>100</v>
      </c>
      <c r="X9" s="703"/>
      <c r="Y9" s="3651" t="s">
        <v>1669</v>
      </c>
      <c r="Z9" s="52" t="str">
        <f t="shared" ref="Z9:Z15" si="7">Q9</f>
        <v>用途</v>
      </c>
      <c r="AA9" s="704">
        <f t="shared" si="3"/>
        <v>1</v>
      </c>
      <c r="AB9" s="704">
        <f t="shared" si="4"/>
        <v>1</v>
      </c>
      <c r="AC9" s="1958">
        <f t="shared" si="5"/>
        <v>1</v>
      </c>
    </row>
    <row r="10" spans="1:29" s="378" customFormat="1" ht="27">
      <c r="A10" s="374"/>
      <c r="B10" s="375" t="s">
        <v>1670</v>
      </c>
      <c r="C10" s="3408"/>
      <c r="D10" s="127">
        <v>100</v>
      </c>
      <c r="E10" s="3408"/>
      <c r="F10" s="127">
        <f>SUMIF(66:66,E10,67:67)-SUMIF(66:66,C10,67:67)+100</f>
        <v>100</v>
      </c>
      <c r="G10" s="3409"/>
      <c r="H10" s="127">
        <f>SUMIF(66:66,G10,67:67)-SUMIF(66:66,C10,67:67)+100</f>
        <v>100</v>
      </c>
      <c r="I10" s="3408"/>
      <c r="J10" s="127">
        <f>SUMIF(66:66,I10,67:67)-SUMIF(66:66,C10,67:67)+100</f>
        <v>100</v>
      </c>
      <c r="K10" s="560"/>
      <c r="L10" s="2693"/>
      <c r="M10" s="2694"/>
      <c r="N10" s="2694"/>
      <c r="O10" s="2694"/>
      <c r="P10" s="3721"/>
      <c r="Q10" s="1342" t="str">
        <f t="shared" si="6"/>
        <v>土地使用年限（年）</v>
      </c>
      <c r="R10" s="701" t="s">
        <v>14</v>
      </c>
      <c r="S10" s="702">
        <f t="shared" si="0"/>
        <v>100</v>
      </c>
      <c r="T10" s="701" t="s">
        <v>14</v>
      </c>
      <c r="U10" s="702">
        <f t="shared" si="1"/>
        <v>100</v>
      </c>
      <c r="V10" s="701" t="s">
        <v>14</v>
      </c>
      <c r="W10" s="702">
        <f t="shared" si="2"/>
        <v>100</v>
      </c>
      <c r="X10" s="703"/>
      <c r="Y10" s="3651"/>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721"/>
      <c r="Q11" s="1342" t="str">
        <f t="shared" si="6"/>
        <v>容积率</v>
      </c>
      <c r="R11" s="701" t="s">
        <v>14</v>
      </c>
      <c r="S11" s="702">
        <f t="shared" si="0"/>
        <v>100</v>
      </c>
      <c r="T11" s="701" t="s">
        <v>14</v>
      </c>
      <c r="U11" s="702">
        <f t="shared" si="1"/>
        <v>100</v>
      </c>
      <c r="V11" s="701" t="s">
        <v>14</v>
      </c>
      <c r="W11" s="702">
        <f t="shared" si="2"/>
        <v>100</v>
      </c>
      <c r="X11" s="703"/>
      <c r="Y11" s="3651"/>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721"/>
      <c r="Q12" s="1342">
        <f t="shared" si="6"/>
        <v>111</v>
      </c>
      <c r="R12" s="701" t="s">
        <v>14</v>
      </c>
      <c r="S12" s="702">
        <f t="shared" si="0"/>
        <v>100</v>
      </c>
      <c r="T12" s="701" t="s">
        <v>14</v>
      </c>
      <c r="U12" s="702">
        <f t="shared" si="1"/>
        <v>100</v>
      </c>
      <c r="V12" s="701" t="s">
        <v>14</v>
      </c>
      <c r="W12" s="702">
        <f t="shared" si="2"/>
        <v>100</v>
      </c>
      <c r="X12" s="703"/>
      <c r="Y12" s="3651"/>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721"/>
      <c r="Q13" s="1342">
        <f t="shared" si="6"/>
        <v>111</v>
      </c>
      <c r="R13" s="701" t="s">
        <v>14</v>
      </c>
      <c r="S13" s="702">
        <f t="shared" si="0"/>
        <v>100</v>
      </c>
      <c r="T13" s="701" t="s">
        <v>14</v>
      </c>
      <c r="U13" s="702">
        <f t="shared" si="1"/>
        <v>100</v>
      </c>
      <c r="V13" s="701" t="s">
        <v>14</v>
      </c>
      <c r="W13" s="702">
        <f t="shared" si="2"/>
        <v>100</v>
      </c>
      <c r="X13" s="703"/>
      <c r="Y13" s="3651"/>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721"/>
      <c r="Q14" s="1342">
        <f t="shared" si="6"/>
        <v>111</v>
      </c>
      <c r="R14" s="701" t="s">
        <v>14</v>
      </c>
      <c r="S14" s="702">
        <f t="shared" si="0"/>
        <v>100</v>
      </c>
      <c r="T14" s="701" t="s">
        <v>14</v>
      </c>
      <c r="U14" s="702">
        <f t="shared" si="1"/>
        <v>100</v>
      </c>
      <c r="V14" s="701" t="s">
        <v>14</v>
      </c>
      <c r="W14" s="702">
        <f t="shared" si="2"/>
        <v>100</v>
      </c>
      <c r="X14" s="703"/>
      <c r="Y14" s="3651"/>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748" t="s">
        <v>1673</v>
      </c>
      <c r="Q15" s="1351" t="str">
        <f t="shared" si="6"/>
        <v>办公集聚程度</v>
      </c>
      <c r="R15" s="705" t="s">
        <v>14</v>
      </c>
      <c r="S15" s="706">
        <f t="shared" si="0"/>
        <v>100</v>
      </c>
      <c r="T15" s="705" t="s">
        <v>14</v>
      </c>
      <c r="U15" s="706">
        <f t="shared" si="1"/>
        <v>100</v>
      </c>
      <c r="V15" s="705" t="s">
        <v>14</v>
      </c>
      <c r="W15" s="706">
        <f t="shared" si="2"/>
        <v>100</v>
      </c>
      <c r="X15" s="1354"/>
      <c r="Y15" s="3741"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49"/>
      <c r="Q16" s="1351"/>
      <c r="R16" s="705"/>
      <c r="S16" s="706"/>
      <c r="T16" s="705"/>
      <c r="U16" s="706"/>
      <c r="V16" s="705"/>
      <c r="W16" s="706"/>
      <c r="X16" s="1354"/>
      <c r="Y16" s="3742"/>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49"/>
      <c r="Q17" s="1351" t="str">
        <f>B17</f>
        <v>交通便捷度</v>
      </c>
      <c r="R17" s="705" t="s">
        <v>14</v>
      </c>
      <c r="S17" s="706">
        <f>F17</f>
        <v>100</v>
      </c>
      <c r="T17" s="705" t="s">
        <v>14</v>
      </c>
      <c r="U17" s="706">
        <f>H17</f>
        <v>100</v>
      </c>
      <c r="V17" s="705" t="s">
        <v>14</v>
      </c>
      <c r="W17" s="706">
        <f>J17</f>
        <v>100</v>
      </c>
      <c r="X17" s="1354"/>
      <c r="Y17" s="3742"/>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49"/>
      <c r="Q18" s="1351"/>
      <c r="R18" s="705"/>
      <c r="S18" s="706"/>
      <c r="T18" s="705"/>
      <c r="U18" s="706"/>
      <c r="V18" s="705"/>
      <c r="W18" s="706"/>
      <c r="X18" s="1354"/>
      <c r="Y18" s="3742"/>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49"/>
      <c r="Q19" s="1351" t="str">
        <f>B19</f>
        <v>公共配套设施</v>
      </c>
      <c r="R19" s="705" t="s">
        <v>14</v>
      </c>
      <c r="S19" s="706">
        <f>F19</f>
        <v>100</v>
      </c>
      <c r="T19" s="705" t="s">
        <v>14</v>
      </c>
      <c r="U19" s="706">
        <f>H19</f>
        <v>100</v>
      </c>
      <c r="V19" s="705" t="s">
        <v>14</v>
      </c>
      <c r="W19" s="706">
        <f>J19</f>
        <v>100</v>
      </c>
      <c r="X19" s="1354"/>
      <c r="Y19" s="3742"/>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49"/>
      <c r="Q20" s="1351"/>
      <c r="R20" s="705"/>
      <c r="S20" s="706"/>
      <c r="T20" s="705"/>
      <c r="U20" s="706"/>
      <c r="V20" s="705"/>
      <c r="W20" s="706"/>
      <c r="X20" s="1354"/>
      <c r="Y20" s="3742"/>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49"/>
      <c r="Q21" s="1351" t="str">
        <f>B21</f>
        <v>基础设施水平</v>
      </c>
      <c r="R21" s="705" t="s">
        <v>14</v>
      </c>
      <c r="S21" s="706">
        <f>F21</f>
        <v>100</v>
      </c>
      <c r="T21" s="705" t="s">
        <v>14</v>
      </c>
      <c r="U21" s="706">
        <f>H21</f>
        <v>100</v>
      </c>
      <c r="V21" s="705" t="s">
        <v>14</v>
      </c>
      <c r="W21" s="706">
        <f>J21</f>
        <v>100</v>
      </c>
      <c r="X21" s="1354"/>
      <c r="Y21" s="3742"/>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49"/>
      <c r="Q22" s="1351"/>
      <c r="R22" s="705"/>
      <c r="S22" s="706"/>
      <c r="T22" s="705"/>
      <c r="U22" s="706"/>
      <c r="V22" s="705"/>
      <c r="W22" s="706"/>
      <c r="X22" s="1354"/>
      <c r="Y22" s="3742"/>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49"/>
      <c r="Q23" s="1351" t="str">
        <f>B23</f>
        <v>环境质量</v>
      </c>
      <c r="R23" s="705" t="s">
        <v>14</v>
      </c>
      <c r="S23" s="706">
        <f>F23</f>
        <v>100</v>
      </c>
      <c r="T23" s="705" t="s">
        <v>14</v>
      </c>
      <c r="U23" s="706">
        <f>H23</f>
        <v>100</v>
      </c>
      <c r="V23" s="705" t="s">
        <v>14</v>
      </c>
      <c r="W23" s="706">
        <f>J23</f>
        <v>100</v>
      </c>
      <c r="X23" s="1354"/>
      <c r="Y23" s="3742"/>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49"/>
      <c r="Q24" s="1351"/>
      <c r="R24" s="705"/>
      <c r="S24" s="706"/>
      <c r="T24" s="705"/>
      <c r="U24" s="706"/>
      <c r="V24" s="705"/>
      <c r="W24" s="706"/>
      <c r="X24" s="1354"/>
      <c r="Y24" s="3742"/>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49"/>
      <c r="Q25" s="1351" t="str">
        <f>B25</f>
        <v>毗邻道路的类型与等级</v>
      </c>
      <c r="R25" s="705" t="s">
        <v>14</v>
      </c>
      <c r="S25" s="706">
        <f>F25</f>
        <v>100</v>
      </c>
      <c r="T25" s="705" t="s">
        <v>14</v>
      </c>
      <c r="U25" s="706">
        <f>H25</f>
        <v>100</v>
      </c>
      <c r="V25" s="705" t="s">
        <v>14</v>
      </c>
      <c r="W25" s="706">
        <f>J25</f>
        <v>100</v>
      </c>
      <c r="X25" s="1354"/>
      <c r="Y25" s="3742"/>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49"/>
      <c r="Q26" s="1351"/>
      <c r="R26" s="705"/>
      <c r="S26" s="706"/>
      <c r="T26" s="705"/>
      <c r="U26" s="706"/>
      <c r="V26" s="705"/>
      <c r="W26" s="706"/>
      <c r="X26" s="1354"/>
      <c r="Y26" s="3742"/>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49"/>
      <c r="Q27" s="1351" t="str">
        <f t="shared" ref="Q27:Q47" si="11">B27</f>
        <v>楼层</v>
      </c>
      <c r="R27" s="705" t="s">
        <v>14</v>
      </c>
      <c r="S27" s="706">
        <f>F27</f>
        <v>100</v>
      </c>
      <c r="T27" s="705" t="s">
        <v>14</v>
      </c>
      <c r="U27" s="706">
        <f>H27</f>
        <v>100</v>
      </c>
      <c r="V27" s="705" t="s">
        <v>14</v>
      </c>
      <c r="W27" s="706">
        <f>J27</f>
        <v>100</v>
      </c>
      <c r="X27" s="1354"/>
      <c r="Y27" s="3742"/>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49"/>
      <c r="Q28" s="1342" t="str">
        <f t="shared" si="11"/>
        <v>朝向</v>
      </c>
      <c r="R28" s="701" t="s">
        <v>14</v>
      </c>
      <c r="S28" s="702">
        <f>F28</f>
        <v>100</v>
      </c>
      <c r="T28" s="701" t="s">
        <v>14</v>
      </c>
      <c r="U28" s="702">
        <f>H28</f>
        <v>100</v>
      </c>
      <c r="V28" s="701" t="s">
        <v>14</v>
      </c>
      <c r="W28" s="702">
        <f>J28</f>
        <v>100</v>
      </c>
      <c r="X28" s="703"/>
      <c r="Y28" s="3742"/>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49"/>
      <c r="Q29" s="1351">
        <f t="shared" si="11"/>
        <v>111</v>
      </c>
      <c r="R29" s="705" t="s">
        <v>14</v>
      </c>
      <c r="S29" s="706">
        <f t="shared" ref="S29:S47" si="12">F29</f>
        <v>100</v>
      </c>
      <c r="T29" s="705" t="s">
        <v>14</v>
      </c>
      <c r="U29" s="706">
        <f t="shared" ref="U29:U47" si="13">H29</f>
        <v>100</v>
      </c>
      <c r="V29" s="705" t="s">
        <v>14</v>
      </c>
      <c r="W29" s="706">
        <f t="shared" ref="W29:W47" si="14">J29</f>
        <v>100</v>
      </c>
      <c r="X29" s="1354"/>
      <c r="Y29" s="3742"/>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49"/>
      <c r="Q30" s="1351">
        <f t="shared" si="11"/>
        <v>111</v>
      </c>
      <c r="R30" s="705" t="s">
        <v>14</v>
      </c>
      <c r="S30" s="706">
        <f t="shared" si="12"/>
        <v>100</v>
      </c>
      <c r="T30" s="705" t="s">
        <v>14</v>
      </c>
      <c r="U30" s="706">
        <f t="shared" si="13"/>
        <v>100</v>
      </c>
      <c r="V30" s="705" t="s">
        <v>14</v>
      </c>
      <c r="W30" s="706">
        <f t="shared" si="14"/>
        <v>100</v>
      </c>
      <c r="X30" s="1354"/>
      <c r="Y30" s="3742"/>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49"/>
      <c r="Q31" s="1351">
        <f t="shared" si="11"/>
        <v>111</v>
      </c>
      <c r="R31" s="705" t="s">
        <v>14</v>
      </c>
      <c r="S31" s="706">
        <f t="shared" si="12"/>
        <v>100</v>
      </c>
      <c r="T31" s="705" t="s">
        <v>14</v>
      </c>
      <c r="U31" s="706">
        <f t="shared" si="13"/>
        <v>100</v>
      </c>
      <c r="V31" s="705" t="s">
        <v>14</v>
      </c>
      <c r="W31" s="706">
        <f t="shared" si="14"/>
        <v>100</v>
      </c>
      <c r="X31" s="1354"/>
      <c r="Y31" s="3742"/>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49"/>
      <c r="Q32" s="1351">
        <f t="shared" si="11"/>
        <v>111</v>
      </c>
      <c r="R32" s="705" t="s">
        <v>14</v>
      </c>
      <c r="S32" s="706">
        <f t="shared" si="12"/>
        <v>100</v>
      </c>
      <c r="T32" s="705" t="s">
        <v>14</v>
      </c>
      <c r="U32" s="706">
        <f t="shared" si="13"/>
        <v>100</v>
      </c>
      <c r="V32" s="705" t="s">
        <v>14</v>
      </c>
      <c r="W32" s="706">
        <f t="shared" si="14"/>
        <v>100</v>
      </c>
      <c r="X32" s="1354"/>
      <c r="Y32" s="3742"/>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743" t="s">
        <v>1678</v>
      </c>
      <c r="Q33" s="1351" t="str">
        <f t="shared" si="11"/>
        <v>建筑类型</v>
      </c>
      <c r="R33" s="705" t="s">
        <v>14</v>
      </c>
      <c r="S33" s="706">
        <f t="shared" si="12"/>
        <v>100</v>
      </c>
      <c r="T33" s="705" t="s">
        <v>14</v>
      </c>
      <c r="U33" s="706">
        <f t="shared" si="13"/>
        <v>100</v>
      </c>
      <c r="V33" s="705" t="s">
        <v>14</v>
      </c>
      <c r="W33" s="706">
        <f t="shared" si="14"/>
        <v>100</v>
      </c>
      <c r="X33" s="1354"/>
      <c r="Y33" s="3746"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744"/>
      <c r="Q34" s="707" t="str">
        <f t="shared" si="11"/>
        <v>项目建筑规模</v>
      </c>
      <c r="R34" s="708" t="s">
        <v>14</v>
      </c>
      <c r="S34" s="709" t="e">
        <f t="shared" si="12"/>
        <v>#N/A</v>
      </c>
      <c r="T34" s="708" t="s">
        <v>14</v>
      </c>
      <c r="U34" s="709" t="e">
        <f t="shared" si="13"/>
        <v>#N/A</v>
      </c>
      <c r="V34" s="708" t="s">
        <v>14</v>
      </c>
      <c r="W34" s="709" t="e">
        <f t="shared" si="14"/>
        <v>#N/A</v>
      </c>
      <c r="X34" s="710"/>
      <c r="Y34" s="3746"/>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744"/>
      <c r="Q35" s="1351" t="str">
        <f t="shared" si="11"/>
        <v>建筑结构</v>
      </c>
      <c r="R35" s="705" t="s">
        <v>14</v>
      </c>
      <c r="S35" s="706">
        <f t="shared" si="12"/>
        <v>100</v>
      </c>
      <c r="T35" s="705" t="s">
        <v>14</v>
      </c>
      <c r="U35" s="706">
        <f t="shared" si="13"/>
        <v>100</v>
      </c>
      <c r="V35" s="705" t="s">
        <v>14</v>
      </c>
      <c r="W35" s="706">
        <f t="shared" si="14"/>
        <v>100</v>
      </c>
      <c r="X35" s="1354"/>
      <c r="Y35" s="3746"/>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744"/>
      <c r="Q36" s="1351" t="str">
        <f t="shared" si="11"/>
        <v>公共部分装修</v>
      </c>
      <c r="R36" s="705" t="s">
        <v>14</v>
      </c>
      <c r="S36" s="706">
        <f t="shared" si="12"/>
        <v>100</v>
      </c>
      <c r="T36" s="705" t="s">
        <v>14</v>
      </c>
      <c r="U36" s="706">
        <f t="shared" si="13"/>
        <v>100</v>
      </c>
      <c r="V36" s="705" t="s">
        <v>14</v>
      </c>
      <c r="W36" s="706">
        <f t="shared" si="14"/>
        <v>100</v>
      </c>
      <c r="X36" s="1354"/>
      <c r="Y36" s="3746"/>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744"/>
      <c r="Q37" s="1351" t="str">
        <f t="shared" si="11"/>
        <v>成新度</v>
      </c>
      <c r="R37" s="705" t="s">
        <v>14</v>
      </c>
      <c r="S37" s="706" t="e">
        <f t="shared" si="12"/>
        <v>#N/A</v>
      </c>
      <c r="T37" s="705" t="s">
        <v>14</v>
      </c>
      <c r="U37" s="706" t="e">
        <f t="shared" si="13"/>
        <v>#N/A</v>
      </c>
      <c r="V37" s="705" t="s">
        <v>14</v>
      </c>
      <c r="W37" s="706" t="e">
        <f t="shared" si="14"/>
        <v>#N/A</v>
      </c>
      <c r="X37" s="1354"/>
      <c r="Y37" s="3746"/>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744"/>
      <c r="Q38" s="1342" t="str">
        <f t="shared" si="11"/>
        <v>写字楼等级</v>
      </c>
      <c r="R38" s="701" t="s">
        <v>14</v>
      </c>
      <c r="S38" s="702">
        <f t="shared" si="12"/>
        <v>100</v>
      </c>
      <c r="T38" s="701" t="s">
        <v>14</v>
      </c>
      <c r="U38" s="702">
        <f t="shared" si="13"/>
        <v>100</v>
      </c>
      <c r="V38" s="701" t="s">
        <v>14</v>
      </c>
      <c r="W38" s="702">
        <f t="shared" si="14"/>
        <v>100</v>
      </c>
      <c r="X38" s="703"/>
      <c r="Y38" s="3746"/>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744" t="s">
        <v>1678</v>
      </c>
      <c r="Q39" s="1351" t="str">
        <f t="shared" si="11"/>
        <v>物业管理</v>
      </c>
      <c r="R39" s="705" t="s">
        <v>14</v>
      </c>
      <c r="S39" s="706">
        <f t="shared" si="12"/>
        <v>100</v>
      </c>
      <c r="T39" s="705" t="s">
        <v>14</v>
      </c>
      <c r="U39" s="706">
        <f t="shared" si="13"/>
        <v>100</v>
      </c>
      <c r="V39" s="705" t="s">
        <v>14</v>
      </c>
      <c r="W39" s="706">
        <f t="shared" si="14"/>
        <v>100</v>
      </c>
      <c r="X39" s="1354"/>
      <c r="Y39" s="3746"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744"/>
      <c r="Q40" s="1351" t="str">
        <f t="shared" si="11"/>
        <v>市政基础设施</v>
      </c>
      <c r="R40" s="705" t="s">
        <v>14</v>
      </c>
      <c r="S40" s="706">
        <f t="shared" si="12"/>
        <v>100</v>
      </c>
      <c r="T40" s="705" t="s">
        <v>14</v>
      </c>
      <c r="U40" s="706">
        <f t="shared" si="13"/>
        <v>100</v>
      </c>
      <c r="V40" s="705" t="s">
        <v>14</v>
      </c>
      <c r="W40" s="706">
        <f t="shared" si="14"/>
        <v>100</v>
      </c>
      <c r="X40" s="1354"/>
      <c r="Y40" s="3746"/>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744"/>
      <c r="Q41" s="1351" t="str">
        <f t="shared" si="11"/>
        <v>层高</v>
      </c>
      <c r="R41" s="705" t="s">
        <v>14</v>
      </c>
      <c r="S41" s="706">
        <f t="shared" si="12"/>
        <v>100</v>
      </c>
      <c r="T41" s="705" t="s">
        <v>14</v>
      </c>
      <c r="U41" s="706">
        <f t="shared" si="13"/>
        <v>100</v>
      </c>
      <c r="V41" s="705" t="s">
        <v>14</v>
      </c>
      <c r="W41" s="706">
        <f t="shared" si="14"/>
        <v>100</v>
      </c>
      <c r="X41" s="1354"/>
      <c r="Y41" s="3746"/>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744"/>
      <c r="Q42" s="707" t="str">
        <f t="shared" si="11"/>
        <v>单套建筑面积</v>
      </c>
      <c r="R42" s="708" t="s">
        <v>14</v>
      </c>
      <c r="S42" s="709">
        <f t="shared" si="12"/>
        <v>100</v>
      </c>
      <c r="T42" s="708" t="s">
        <v>14</v>
      </c>
      <c r="U42" s="709">
        <f t="shared" si="13"/>
        <v>100</v>
      </c>
      <c r="V42" s="708" t="s">
        <v>14</v>
      </c>
      <c r="W42" s="709">
        <f t="shared" si="14"/>
        <v>100</v>
      </c>
      <c r="X42" s="710"/>
      <c r="Y42" s="3746"/>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744"/>
      <c r="Q43" s="1351" t="str">
        <f t="shared" si="11"/>
        <v>内部装修</v>
      </c>
      <c r="R43" s="705" t="s">
        <v>14</v>
      </c>
      <c r="S43" s="706">
        <f t="shared" si="12"/>
        <v>100</v>
      </c>
      <c r="T43" s="705" t="s">
        <v>14</v>
      </c>
      <c r="U43" s="706">
        <f t="shared" si="13"/>
        <v>100</v>
      </c>
      <c r="V43" s="705" t="s">
        <v>14</v>
      </c>
      <c r="W43" s="706">
        <f t="shared" si="14"/>
        <v>100</v>
      </c>
      <c r="X43" s="1354"/>
      <c r="Y43" s="3746"/>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744"/>
      <c r="Q44" s="1351" t="str">
        <f t="shared" si="11"/>
        <v>内部装修维护情况</v>
      </c>
      <c r="R44" s="705" t="s">
        <v>14</v>
      </c>
      <c r="S44" s="706">
        <f t="shared" si="12"/>
        <v>100</v>
      </c>
      <c r="T44" s="705" t="s">
        <v>14</v>
      </c>
      <c r="U44" s="706">
        <f t="shared" si="13"/>
        <v>100</v>
      </c>
      <c r="V44" s="705" t="s">
        <v>14</v>
      </c>
      <c r="W44" s="706">
        <f t="shared" si="14"/>
        <v>100</v>
      </c>
      <c r="X44" s="1354"/>
      <c r="Y44" s="3746"/>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744"/>
      <c r="Q45" s="1342">
        <f t="shared" si="11"/>
        <v>111</v>
      </c>
      <c r="R45" s="701" t="s">
        <v>14</v>
      </c>
      <c r="S45" s="702">
        <f t="shared" si="12"/>
        <v>100</v>
      </c>
      <c r="T45" s="701" t="s">
        <v>14</v>
      </c>
      <c r="U45" s="702">
        <f t="shared" si="13"/>
        <v>100</v>
      </c>
      <c r="V45" s="701" t="s">
        <v>14</v>
      </c>
      <c r="W45" s="702">
        <f t="shared" si="14"/>
        <v>100</v>
      </c>
      <c r="X45" s="703"/>
      <c r="Y45" s="3746"/>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744"/>
      <c r="Q46" s="1351">
        <f t="shared" si="11"/>
        <v>111</v>
      </c>
      <c r="R46" s="705" t="s">
        <v>14</v>
      </c>
      <c r="S46" s="706">
        <f t="shared" si="12"/>
        <v>100</v>
      </c>
      <c r="T46" s="705" t="s">
        <v>14</v>
      </c>
      <c r="U46" s="706">
        <f t="shared" si="13"/>
        <v>100</v>
      </c>
      <c r="V46" s="705" t="s">
        <v>14</v>
      </c>
      <c r="W46" s="706">
        <f t="shared" si="14"/>
        <v>100</v>
      </c>
      <c r="X46" s="1354"/>
      <c r="Y46" s="3746"/>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745"/>
      <c r="Q47" s="1351">
        <f t="shared" si="11"/>
        <v>111</v>
      </c>
      <c r="R47" s="705" t="s">
        <v>14</v>
      </c>
      <c r="S47" s="706">
        <f t="shared" si="12"/>
        <v>100</v>
      </c>
      <c r="T47" s="705" t="s">
        <v>14</v>
      </c>
      <c r="U47" s="706">
        <f t="shared" si="13"/>
        <v>100</v>
      </c>
      <c r="V47" s="705" t="s">
        <v>14</v>
      </c>
      <c r="W47" s="706">
        <f t="shared" si="14"/>
        <v>100</v>
      </c>
      <c r="X47" s="1354"/>
      <c r="Y47" s="3747"/>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721" t="str">
        <f>A48</f>
        <v>成交单价（元/平方米）</v>
      </c>
      <c r="Q48" s="3739"/>
      <c r="R48" s="3740">
        <f>E48</f>
        <v>0</v>
      </c>
      <c r="S48" s="3740"/>
      <c r="T48" s="3740">
        <f>G48</f>
        <v>0</v>
      </c>
      <c r="U48" s="3740"/>
      <c r="V48" s="3740">
        <f>I48</f>
        <v>0</v>
      </c>
      <c r="W48" s="3740"/>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721" t="str">
        <f>A49</f>
        <v>比较价值（元/平方米）</v>
      </c>
      <c r="Q49" s="3739"/>
      <c r="R49" s="3740" t="e">
        <f>IF(F1="售价",ROUND(PRODUCT(R48,AA7:AA47),0),ROUND(PRODUCT(R48,AA7:AA47),1))</f>
        <v>#DIV/0!</v>
      </c>
      <c r="S49" s="3740"/>
      <c r="T49" s="3740" t="e">
        <f>IF(F1="售价",ROUND(PRODUCT(T48,AB7:AB47),0),ROUND(PRODUCT(T48,AB7:AB47),1))</f>
        <v>#DIV/0!</v>
      </c>
      <c r="U49" s="3740"/>
      <c r="V49" s="3740" t="e">
        <f>IF(F1="售价",ROUND(PRODUCT(V48,AC7:AC47),0),ROUND(PRODUCT(V48,AC7:AC47),1))</f>
        <v>#DIV/0!</v>
      </c>
      <c r="W49" s="3740"/>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62" t="str">
        <f>A50</f>
        <v>估价对象XX用房的比较价值（楼面单价，元/平方米）</v>
      </c>
      <c r="Q50" s="3763"/>
      <c r="R50" s="3764" t="e">
        <f>IF(F1="售价",ROUND(IF(D49="简单平均",AVERAGE(R49:V49),R49*F49+T49*H49+V49*J49),0),ROUND(IF(D49="简单平均",AVERAGE(R49:V49),R49*F49+T49*H49+V49*J49),1))</f>
        <v>#DIV/0!</v>
      </c>
      <c r="S50" s="3764"/>
      <c r="T50" s="3764"/>
      <c r="U50" s="3764"/>
      <c r="V50" s="3764"/>
      <c r="W50" s="3764"/>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17559.11</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913"/>
      <c r="M4" s="914"/>
      <c r="N4" s="914"/>
      <c r="O4" s="914"/>
      <c r="P4" s="3726" t="s">
        <v>1757</v>
      </c>
      <c r="Q4" s="3727"/>
      <c r="R4" s="3709" t="s">
        <v>1753</v>
      </c>
      <c r="S4" s="3710"/>
      <c r="T4" s="3709" t="s">
        <v>1754</v>
      </c>
      <c r="U4" s="3710"/>
      <c r="V4" s="3734" t="s">
        <v>1755</v>
      </c>
      <c r="W4" s="3734"/>
      <c r="X4" s="1354"/>
      <c r="Y4" s="3709" t="s">
        <v>1757</v>
      </c>
      <c r="Z4" s="3710"/>
      <c r="AA4" s="3704" t="s">
        <v>1753</v>
      </c>
      <c r="AB4" s="3705" t="s">
        <v>1754</v>
      </c>
      <c r="AC4" s="3704" t="s">
        <v>1755</v>
      </c>
    </row>
    <row r="5" spans="1:29" ht="15">
      <c r="A5" s="358"/>
      <c r="B5" s="359"/>
      <c r="C5" s="3715" t="s">
        <v>1655</v>
      </c>
      <c r="D5" s="3716"/>
      <c r="E5" s="3713" t="s">
        <v>1656</v>
      </c>
      <c r="F5" s="3714"/>
      <c r="G5" s="3715" t="s">
        <v>1657</v>
      </c>
      <c r="H5" s="3716"/>
      <c r="I5" s="3715" t="s">
        <v>1658</v>
      </c>
      <c r="J5" s="3716"/>
      <c r="K5" s="559"/>
      <c r="L5" s="913"/>
      <c r="M5" s="914"/>
      <c r="N5" s="914"/>
      <c r="O5" s="914"/>
      <c r="P5" s="3728"/>
      <c r="Q5" s="3729"/>
      <c r="R5" s="3711"/>
      <c r="S5" s="3712"/>
      <c r="T5" s="3711"/>
      <c r="U5" s="3712"/>
      <c r="V5" s="3734"/>
      <c r="W5" s="3734"/>
      <c r="X5" s="1354"/>
      <c r="Y5" s="3711"/>
      <c r="Z5" s="3712"/>
      <c r="AA5" s="3705"/>
      <c r="AB5" s="3705"/>
      <c r="AC5" s="3705"/>
    </row>
    <row r="6" spans="1:29" ht="15.75" thickBot="1">
      <c r="A6" s="360"/>
      <c r="B6" s="361"/>
      <c r="C6" s="3717" t="s">
        <v>1659</v>
      </c>
      <c r="D6" s="3718"/>
      <c r="E6" s="3719" t="s">
        <v>1659</v>
      </c>
      <c r="F6" s="3720"/>
      <c r="G6" s="3717" t="s">
        <v>1659</v>
      </c>
      <c r="H6" s="3718"/>
      <c r="I6" s="3717" t="s">
        <v>1659</v>
      </c>
      <c r="J6" s="3718"/>
      <c r="K6" s="559" t="s">
        <v>1660</v>
      </c>
      <c r="L6" s="913"/>
      <c r="M6" s="914"/>
      <c r="N6" s="914"/>
      <c r="O6" s="914"/>
      <c r="P6" s="3730"/>
      <c r="Q6" s="3731"/>
      <c r="R6" s="3711"/>
      <c r="S6" s="3712"/>
      <c r="T6" s="3732"/>
      <c r="U6" s="3733"/>
      <c r="V6" s="3734"/>
      <c r="W6" s="3734"/>
      <c r="X6" s="1354"/>
      <c r="Y6" s="3732"/>
      <c r="Z6" s="3733"/>
      <c r="AA6" s="3706"/>
      <c r="AB6" s="3706"/>
      <c r="AC6" s="3706"/>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707" t="s">
        <v>1662</v>
      </c>
      <c r="Q7" s="3735"/>
      <c r="R7" s="701" t="s">
        <v>14</v>
      </c>
      <c r="S7" s="702">
        <f t="shared" ref="S7:S15" si="0">F7</f>
        <v>0</v>
      </c>
      <c r="T7" s="701" t="s">
        <v>14</v>
      </c>
      <c r="U7" s="702">
        <f t="shared" ref="U7:U15" si="1">H7</f>
        <v>0</v>
      </c>
      <c r="V7" s="701" t="s">
        <v>14</v>
      </c>
      <c r="W7" s="702">
        <f t="shared" ref="W7:W15" si="2">J7</f>
        <v>0</v>
      </c>
      <c r="X7" s="703"/>
      <c r="Y7" s="3707" t="s">
        <v>1662</v>
      </c>
      <c r="Z7" s="3708"/>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7" t="s">
        <v>1665</v>
      </c>
      <c r="Q8" s="3708"/>
      <c r="R8" s="701" t="s">
        <v>14</v>
      </c>
      <c r="S8" s="702">
        <f t="shared" si="0"/>
        <v>100</v>
      </c>
      <c r="T8" s="701" t="s">
        <v>14</v>
      </c>
      <c r="U8" s="702">
        <f t="shared" si="1"/>
        <v>100</v>
      </c>
      <c r="V8" s="701" t="s">
        <v>14</v>
      </c>
      <c r="W8" s="702">
        <f t="shared" si="2"/>
        <v>100</v>
      </c>
      <c r="X8" s="703"/>
      <c r="Y8" s="3707" t="s">
        <v>1665</v>
      </c>
      <c r="Z8" s="3708"/>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39" t="s">
        <v>1668</v>
      </c>
      <c r="Q9" s="1342" t="str">
        <f t="shared" ref="Q9:Q15" si="6">B9</f>
        <v>用途</v>
      </c>
      <c r="R9" s="701" t="s">
        <v>14</v>
      </c>
      <c r="S9" s="702">
        <f t="shared" si="0"/>
        <v>100</v>
      </c>
      <c r="T9" s="701" t="s">
        <v>14</v>
      </c>
      <c r="U9" s="702">
        <f t="shared" si="1"/>
        <v>100</v>
      </c>
      <c r="V9" s="701" t="s">
        <v>14</v>
      </c>
      <c r="W9" s="702">
        <f t="shared" si="2"/>
        <v>100</v>
      </c>
      <c r="X9" s="703"/>
      <c r="Y9" s="3651"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8"/>
      <c r="F10" s="127">
        <f>SUMIF(59:59,E10,60:60)-SUMIF(59:59,C10,60:60)+100</f>
        <v>100</v>
      </c>
      <c r="G10" s="3409"/>
      <c r="H10" s="127">
        <f>SUMIF(59:59,G10,60:60)-SUMIF(59:59,C10,60:60)+100</f>
        <v>100</v>
      </c>
      <c r="I10" s="3408"/>
      <c r="J10" s="127">
        <f>SUMIF(59:59,I10,60:60)-SUMIF(59:59,C10,60:60)+100</f>
        <v>100</v>
      </c>
      <c r="K10" s="560"/>
      <c r="L10" s="918"/>
      <c r="M10" s="919"/>
      <c r="N10" s="919"/>
      <c r="O10" s="920"/>
      <c r="P10" s="3739"/>
      <c r="Q10" s="1342" t="str">
        <f t="shared" si="6"/>
        <v>土地使用年限（年）</v>
      </c>
      <c r="R10" s="701" t="s">
        <v>14</v>
      </c>
      <c r="S10" s="702">
        <f t="shared" si="0"/>
        <v>100</v>
      </c>
      <c r="T10" s="701" t="s">
        <v>14</v>
      </c>
      <c r="U10" s="702">
        <f t="shared" si="1"/>
        <v>100</v>
      </c>
      <c r="V10" s="701" t="s">
        <v>14</v>
      </c>
      <c r="W10" s="702">
        <f t="shared" si="2"/>
        <v>100</v>
      </c>
      <c r="X10" s="703"/>
      <c r="Y10" s="3651"/>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39"/>
      <c r="Q11" s="1342" t="str">
        <f t="shared" si="6"/>
        <v>容积率</v>
      </c>
      <c r="R11" s="701" t="s">
        <v>14</v>
      </c>
      <c r="S11" s="702">
        <f t="shared" si="0"/>
        <v>100</v>
      </c>
      <c r="T11" s="701" t="s">
        <v>14</v>
      </c>
      <c r="U11" s="702">
        <f t="shared" si="1"/>
        <v>100</v>
      </c>
      <c r="V11" s="701" t="s">
        <v>14</v>
      </c>
      <c r="W11" s="702">
        <f t="shared" si="2"/>
        <v>100</v>
      </c>
      <c r="X11" s="703"/>
      <c r="Y11" s="3651"/>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739"/>
      <c r="Q12" s="1342">
        <f t="shared" si="6"/>
        <v>111</v>
      </c>
      <c r="R12" s="701" t="s">
        <v>14</v>
      </c>
      <c r="S12" s="702">
        <f t="shared" si="0"/>
        <v>100</v>
      </c>
      <c r="T12" s="701" t="s">
        <v>14</v>
      </c>
      <c r="U12" s="702">
        <f t="shared" si="1"/>
        <v>100</v>
      </c>
      <c r="V12" s="701" t="s">
        <v>14</v>
      </c>
      <c r="W12" s="702">
        <f t="shared" si="2"/>
        <v>100</v>
      </c>
      <c r="X12" s="703"/>
      <c r="Y12" s="3651"/>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739"/>
      <c r="Q13" s="1342">
        <f t="shared" si="6"/>
        <v>111</v>
      </c>
      <c r="R13" s="701" t="s">
        <v>14</v>
      </c>
      <c r="S13" s="702">
        <f t="shared" si="0"/>
        <v>100</v>
      </c>
      <c r="T13" s="701" t="s">
        <v>14</v>
      </c>
      <c r="U13" s="702">
        <f t="shared" si="1"/>
        <v>100</v>
      </c>
      <c r="V13" s="701" t="s">
        <v>14</v>
      </c>
      <c r="W13" s="702">
        <f t="shared" si="2"/>
        <v>100</v>
      </c>
      <c r="X13" s="703"/>
      <c r="Y13" s="3651"/>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739"/>
      <c r="Q14" s="1342">
        <f t="shared" si="6"/>
        <v>111</v>
      </c>
      <c r="R14" s="701" t="s">
        <v>14</v>
      </c>
      <c r="S14" s="702">
        <f t="shared" si="0"/>
        <v>100</v>
      </c>
      <c r="T14" s="701" t="s">
        <v>14</v>
      </c>
      <c r="U14" s="702">
        <f t="shared" si="1"/>
        <v>100</v>
      </c>
      <c r="V14" s="701" t="s">
        <v>14</v>
      </c>
      <c r="W14" s="702">
        <f t="shared" si="2"/>
        <v>100</v>
      </c>
      <c r="X14" s="703"/>
      <c r="Y14" s="3651"/>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41" t="s">
        <v>1673</v>
      </c>
      <c r="Q15" s="1351" t="str">
        <f t="shared" si="6"/>
        <v>产业集聚程度</v>
      </c>
      <c r="R15" s="705" t="s">
        <v>14</v>
      </c>
      <c r="S15" s="706">
        <f t="shared" si="0"/>
        <v>100</v>
      </c>
      <c r="T15" s="705" t="s">
        <v>14</v>
      </c>
      <c r="U15" s="706">
        <f t="shared" si="1"/>
        <v>100</v>
      </c>
      <c r="V15" s="705" t="s">
        <v>14</v>
      </c>
      <c r="W15" s="706">
        <f t="shared" si="2"/>
        <v>100</v>
      </c>
      <c r="X15" s="1354"/>
      <c r="Y15" s="3741"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742"/>
      <c r="Q16" s="1351"/>
      <c r="R16" s="705"/>
      <c r="S16" s="706"/>
      <c r="T16" s="705"/>
      <c r="U16" s="706"/>
      <c r="V16" s="705"/>
      <c r="W16" s="706"/>
      <c r="X16" s="1354"/>
      <c r="Y16" s="3742"/>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42"/>
      <c r="Q17" s="1351" t="str">
        <f>B17</f>
        <v>交通便捷度</v>
      </c>
      <c r="R17" s="705" t="s">
        <v>14</v>
      </c>
      <c r="S17" s="706">
        <f>F17</f>
        <v>100</v>
      </c>
      <c r="T17" s="705" t="s">
        <v>14</v>
      </c>
      <c r="U17" s="706">
        <f>H17</f>
        <v>100</v>
      </c>
      <c r="V17" s="705" t="s">
        <v>14</v>
      </c>
      <c r="W17" s="706">
        <f>J17</f>
        <v>100</v>
      </c>
      <c r="X17" s="1354"/>
      <c r="Y17" s="3742"/>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742"/>
      <c r="Q18" s="1351"/>
      <c r="R18" s="705"/>
      <c r="S18" s="706"/>
      <c r="T18" s="705"/>
      <c r="U18" s="706"/>
      <c r="V18" s="705"/>
      <c r="W18" s="706"/>
      <c r="X18" s="1354"/>
      <c r="Y18" s="3742"/>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42"/>
      <c r="Q19" s="1351" t="str">
        <f>B19</f>
        <v>公共配套设施</v>
      </c>
      <c r="R19" s="705" t="s">
        <v>14</v>
      </c>
      <c r="S19" s="706">
        <f>F19</f>
        <v>100</v>
      </c>
      <c r="T19" s="705" t="s">
        <v>14</v>
      </c>
      <c r="U19" s="706">
        <f>H19</f>
        <v>100</v>
      </c>
      <c r="V19" s="705" t="s">
        <v>14</v>
      </c>
      <c r="W19" s="706">
        <f>J19</f>
        <v>100</v>
      </c>
      <c r="X19" s="1354"/>
      <c r="Y19" s="3742"/>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742"/>
      <c r="Q20" s="1351"/>
      <c r="R20" s="705"/>
      <c r="S20" s="706"/>
      <c r="T20" s="705"/>
      <c r="U20" s="706"/>
      <c r="V20" s="705"/>
      <c r="W20" s="706"/>
      <c r="X20" s="1354"/>
      <c r="Y20" s="3742"/>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42"/>
      <c r="Q21" s="1351" t="str">
        <f>B21</f>
        <v>基础设施水平</v>
      </c>
      <c r="R21" s="705" t="s">
        <v>14</v>
      </c>
      <c r="S21" s="706">
        <f>F21</f>
        <v>100</v>
      </c>
      <c r="T21" s="705" t="s">
        <v>14</v>
      </c>
      <c r="U21" s="706">
        <f>H21</f>
        <v>100</v>
      </c>
      <c r="V21" s="705" t="s">
        <v>14</v>
      </c>
      <c r="W21" s="706">
        <f>J21</f>
        <v>100</v>
      </c>
      <c r="X21" s="1354"/>
      <c r="Y21" s="3742"/>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742"/>
      <c r="Q22" s="1351"/>
      <c r="R22" s="705"/>
      <c r="S22" s="706"/>
      <c r="T22" s="705"/>
      <c r="U22" s="706"/>
      <c r="V22" s="705"/>
      <c r="W22" s="706"/>
      <c r="X22" s="1354"/>
      <c r="Y22" s="3742"/>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42"/>
      <c r="Q23" s="1351" t="str">
        <f>B23</f>
        <v>环境质量</v>
      </c>
      <c r="R23" s="705" t="s">
        <v>14</v>
      </c>
      <c r="S23" s="706">
        <f>F23</f>
        <v>100</v>
      </c>
      <c r="T23" s="705" t="s">
        <v>14</v>
      </c>
      <c r="U23" s="706">
        <f>H23</f>
        <v>100</v>
      </c>
      <c r="V23" s="705" t="s">
        <v>14</v>
      </c>
      <c r="W23" s="706">
        <f>J23</f>
        <v>100</v>
      </c>
      <c r="X23" s="1354"/>
      <c r="Y23" s="3742"/>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742"/>
      <c r="Q24" s="1351"/>
      <c r="R24" s="705"/>
      <c r="S24" s="706"/>
      <c r="T24" s="705"/>
      <c r="U24" s="706"/>
      <c r="V24" s="705"/>
      <c r="W24" s="706"/>
      <c r="X24" s="1354"/>
      <c r="Y24" s="3742"/>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42"/>
      <c r="Q25" s="1351">
        <f>B25</f>
        <v>111</v>
      </c>
      <c r="R25" s="705" t="s">
        <v>14</v>
      </c>
      <c r="S25" s="706">
        <f>F25</f>
        <v>100</v>
      </c>
      <c r="T25" s="705" t="s">
        <v>14</v>
      </c>
      <c r="U25" s="706">
        <f>H25</f>
        <v>100</v>
      </c>
      <c r="V25" s="705" t="s">
        <v>14</v>
      </c>
      <c r="W25" s="706">
        <f>J25</f>
        <v>100</v>
      </c>
      <c r="X25" s="1354"/>
      <c r="Y25" s="3742"/>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42"/>
      <c r="Q26" s="1351">
        <f t="shared" ref="Q26:Q40" si="11">B26</f>
        <v>111</v>
      </c>
      <c r="R26" s="705" t="s">
        <v>14</v>
      </c>
      <c r="S26" s="706">
        <f>F26</f>
        <v>100</v>
      </c>
      <c r="T26" s="705" t="s">
        <v>14</v>
      </c>
      <c r="U26" s="706">
        <f>H26</f>
        <v>100</v>
      </c>
      <c r="V26" s="705" t="s">
        <v>14</v>
      </c>
      <c r="W26" s="706">
        <f>J26</f>
        <v>100</v>
      </c>
      <c r="X26" s="1354"/>
      <c r="Y26" s="3742"/>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42"/>
      <c r="Q27" s="1342">
        <f t="shared" si="11"/>
        <v>111</v>
      </c>
      <c r="R27" s="701" t="s">
        <v>14</v>
      </c>
      <c r="S27" s="702">
        <f>F27</f>
        <v>100</v>
      </c>
      <c r="T27" s="701" t="s">
        <v>14</v>
      </c>
      <c r="U27" s="702">
        <f>H27</f>
        <v>100</v>
      </c>
      <c r="V27" s="701" t="s">
        <v>14</v>
      </c>
      <c r="W27" s="702">
        <f>J27</f>
        <v>100</v>
      </c>
      <c r="X27" s="703"/>
      <c r="Y27" s="3742"/>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42"/>
      <c r="Q28" s="1351">
        <f t="shared" si="11"/>
        <v>111</v>
      </c>
      <c r="R28" s="705" t="s">
        <v>14</v>
      </c>
      <c r="S28" s="706">
        <f t="shared" ref="S28:S40" si="12">F28</f>
        <v>100</v>
      </c>
      <c r="T28" s="705" t="s">
        <v>14</v>
      </c>
      <c r="U28" s="706">
        <f t="shared" ref="U28:U40" si="13">H28</f>
        <v>100</v>
      </c>
      <c r="V28" s="705" t="s">
        <v>14</v>
      </c>
      <c r="W28" s="706">
        <f t="shared" ref="W28:W40" si="14">J28</f>
        <v>100</v>
      </c>
      <c r="X28" s="1354"/>
      <c r="Y28" s="3742"/>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65" t="s">
        <v>1678</v>
      </c>
      <c r="Q29" s="1351" t="str">
        <f t="shared" si="11"/>
        <v>建筑类型</v>
      </c>
      <c r="R29" s="705" t="s">
        <v>14</v>
      </c>
      <c r="S29" s="706">
        <f t="shared" si="12"/>
        <v>100</v>
      </c>
      <c r="T29" s="705" t="s">
        <v>14</v>
      </c>
      <c r="U29" s="706">
        <f t="shared" si="13"/>
        <v>100</v>
      </c>
      <c r="V29" s="705" t="s">
        <v>14</v>
      </c>
      <c r="W29" s="706">
        <f t="shared" si="14"/>
        <v>100</v>
      </c>
      <c r="X29" s="1354"/>
      <c r="Y29" s="3746"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46"/>
      <c r="Q30" s="707" t="str">
        <f t="shared" si="11"/>
        <v>项目建筑规模</v>
      </c>
      <c r="R30" s="708" t="s">
        <v>14</v>
      </c>
      <c r="S30" s="709" t="e">
        <f t="shared" si="12"/>
        <v>#N/A</v>
      </c>
      <c r="T30" s="708" t="s">
        <v>14</v>
      </c>
      <c r="U30" s="709" t="e">
        <f t="shared" si="13"/>
        <v>#N/A</v>
      </c>
      <c r="V30" s="708" t="s">
        <v>14</v>
      </c>
      <c r="W30" s="709" t="e">
        <f t="shared" si="14"/>
        <v>#N/A</v>
      </c>
      <c r="X30" s="710"/>
      <c r="Y30" s="3746"/>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46"/>
      <c r="Q31" s="1351" t="str">
        <f t="shared" si="11"/>
        <v>建筑结构</v>
      </c>
      <c r="R31" s="705" t="s">
        <v>14</v>
      </c>
      <c r="S31" s="706">
        <f t="shared" si="12"/>
        <v>100</v>
      </c>
      <c r="T31" s="705" t="s">
        <v>14</v>
      </c>
      <c r="U31" s="706">
        <f t="shared" si="13"/>
        <v>100</v>
      </c>
      <c r="V31" s="705" t="s">
        <v>14</v>
      </c>
      <c r="W31" s="706">
        <f t="shared" si="14"/>
        <v>100</v>
      </c>
      <c r="X31" s="1354"/>
      <c r="Y31" s="3746"/>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46"/>
      <c r="Q32" s="1351" t="str">
        <f t="shared" si="11"/>
        <v>公共部分装修</v>
      </c>
      <c r="R32" s="705" t="s">
        <v>14</v>
      </c>
      <c r="S32" s="706">
        <f t="shared" si="12"/>
        <v>100</v>
      </c>
      <c r="T32" s="705" t="s">
        <v>14</v>
      </c>
      <c r="U32" s="706">
        <f t="shared" si="13"/>
        <v>100</v>
      </c>
      <c r="V32" s="705" t="s">
        <v>14</v>
      </c>
      <c r="W32" s="706">
        <f t="shared" si="14"/>
        <v>100</v>
      </c>
      <c r="X32" s="1354"/>
      <c r="Y32" s="3746"/>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46"/>
      <c r="Q33" s="1351" t="str">
        <f t="shared" si="11"/>
        <v>成新度</v>
      </c>
      <c r="R33" s="705" t="s">
        <v>14</v>
      </c>
      <c r="S33" s="706" t="e">
        <f t="shared" si="12"/>
        <v>#N/A</v>
      </c>
      <c r="T33" s="705" t="s">
        <v>14</v>
      </c>
      <c r="U33" s="706" t="e">
        <f t="shared" si="13"/>
        <v>#N/A</v>
      </c>
      <c r="V33" s="705" t="s">
        <v>14</v>
      </c>
      <c r="W33" s="706" t="e">
        <f t="shared" si="14"/>
        <v>#N/A</v>
      </c>
      <c r="X33" s="1354"/>
      <c r="Y33" s="3746"/>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46"/>
      <c r="Q34" s="1342" t="str">
        <f t="shared" si="11"/>
        <v>物业管理</v>
      </c>
      <c r="R34" s="701" t="s">
        <v>14</v>
      </c>
      <c r="S34" s="702">
        <f t="shared" si="12"/>
        <v>100</v>
      </c>
      <c r="T34" s="701" t="s">
        <v>14</v>
      </c>
      <c r="U34" s="702">
        <f t="shared" si="13"/>
        <v>100</v>
      </c>
      <c r="V34" s="701" t="s">
        <v>14</v>
      </c>
      <c r="W34" s="702">
        <f t="shared" si="14"/>
        <v>100</v>
      </c>
      <c r="X34" s="703"/>
      <c r="Y34" s="3746"/>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46" t="s">
        <v>1678</v>
      </c>
      <c r="Q35" s="1351" t="str">
        <f t="shared" si="11"/>
        <v>市政基础设施</v>
      </c>
      <c r="R35" s="705" t="s">
        <v>14</v>
      </c>
      <c r="S35" s="706">
        <f t="shared" si="12"/>
        <v>100</v>
      </c>
      <c r="T35" s="705" t="s">
        <v>14</v>
      </c>
      <c r="U35" s="706">
        <f t="shared" si="13"/>
        <v>100</v>
      </c>
      <c r="V35" s="705" t="s">
        <v>14</v>
      </c>
      <c r="W35" s="706">
        <f t="shared" si="14"/>
        <v>100</v>
      </c>
      <c r="X35" s="1354"/>
      <c r="Y35" s="3746"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46"/>
      <c r="Q36" s="1351" t="str">
        <f t="shared" si="11"/>
        <v>内部装修</v>
      </c>
      <c r="R36" s="705" t="s">
        <v>14</v>
      </c>
      <c r="S36" s="706">
        <f t="shared" si="12"/>
        <v>100</v>
      </c>
      <c r="T36" s="705" t="s">
        <v>14</v>
      </c>
      <c r="U36" s="706">
        <f t="shared" si="13"/>
        <v>100</v>
      </c>
      <c r="V36" s="705" t="s">
        <v>14</v>
      </c>
      <c r="W36" s="706">
        <f t="shared" si="14"/>
        <v>100</v>
      </c>
      <c r="X36" s="1354"/>
      <c r="Y36" s="3746"/>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46"/>
      <c r="Q37" s="1351" t="str">
        <f t="shared" si="11"/>
        <v>内部装修状况</v>
      </c>
      <c r="R37" s="705" t="s">
        <v>14</v>
      </c>
      <c r="S37" s="706">
        <f t="shared" si="12"/>
        <v>100</v>
      </c>
      <c r="T37" s="705" t="s">
        <v>14</v>
      </c>
      <c r="U37" s="706">
        <f t="shared" si="13"/>
        <v>100</v>
      </c>
      <c r="V37" s="705" t="s">
        <v>14</v>
      </c>
      <c r="W37" s="706">
        <f t="shared" si="14"/>
        <v>100</v>
      </c>
      <c r="X37" s="1354"/>
      <c r="Y37" s="3746"/>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46"/>
      <c r="Q38" s="707">
        <f t="shared" si="11"/>
        <v>111</v>
      </c>
      <c r="R38" s="708" t="s">
        <v>14</v>
      </c>
      <c r="S38" s="709">
        <f t="shared" si="12"/>
        <v>100</v>
      </c>
      <c r="T38" s="708" t="s">
        <v>14</v>
      </c>
      <c r="U38" s="709">
        <f t="shared" si="13"/>
        <v>100</v>
      </c>
      <c r="V38" s="708" t="s">
        <v>14</v>
      </c>
      <c r="W38" s="709">
        <f t="shared" si="14"/>
        <v>100</v>
      </c>
      <c r="X38" s="710"/>
      <c r="Y38" s="3746"/>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46"/>
      <c r="Q39" s="1351">
        <f t="shared" si="11"/>
        <v>111</v>
      </c>
      <c r="R39" s="705" t="s">
        <v>14</v>
      </c>
      <c r="S39" s="706">
        <f t="shared" si="12"/>
        <v>100</v>
      </c>
      <c r="T39" s="705" t="s">
        <v>14</v>
      </c>
      <c r="U39" s="706">
        <f t="shared" si="13"/>
        <v>100</v>
      </c>
      <c r="V39" s="705" t="s">
        <v>14</v>
      </c>
      <c r="W39" s="706">
        <f t="shared" si="14"/>
        <v>100</v>
      </c>
      <c r="X39" s="1354"/>
      <c r="Y39" s="3746"/>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47"/>
      <c r="Q40" s="1351">
        <f t="shared" si="11"/>
        <v>111</v>
      </c>
      <c r="R40" s="705" t="s">
        <v>14</v>
      </c>
      <c r="S40" s="706">
        <f t="shared" si="12"/>
        <v>100</v>
      </c>
      <c r="T40" s="705" t="s">
        <v>14</v>
      </c>
      <c r="U40" s="706">
        <f t="shared" si="13"/>
        <v>100</v>
      </c>
      <c r="V40" s="705" t="s">
        <v>14</v>
      </c>
      <c r="W40" s="706">
        <f t="shared" si="14"/>
        <v>100</v>
      </c>
      <c r="X40" s="1354"/>
      <c r="Y40" s="3747"/>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739" t="str">
        <f>A41</f>
        <v>成交单价（元/平方米）</v>
      </c>
      <c r="Q41" s="3739"/>
      <c r="R41" s="3740">
        <f>E41</f>
        <v>0</v>
      </c>
      <c r="S41" s="3740"/>
      <c r="T41" s="3740">
        <f>G41</f>
        <v>0</v>
      </c>
      <c r="U41" s="3740"/>
      <c r="V41" s="3740">
        <f>I41</f>
        <v>0</v>
      </c>
      <c r="W41" s="3740"/>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739" t="str">
        <f>A42</f>
        <v>比较价值（元/平方米）</v>
      </c>
      <c r="Q42" s="3739"/>
      <c r="R42" s="3740" t="e">
        <f>IF(F1="售价",ROUND(PRODUCT(R41,AA7:AA40),0),ROUND(PRODUCT(R41,AA7:AA40),1))</f>
        <v>#DIV/0!</v>
      </c>
      <c r="S42" s="3740"/>
      <c r="T42" s="3740" t="e">
        <f>IF(F1="售价",ROUND(PRODUCT(T41,AB7:AB40),0),ROUND(PRODUCT(T41,AB7:AB40),1))</f>
        <v>#DIV/0!</v>
      </c>
      <c r="U42" s="3740"/>
      <c r="V42" s="3740" t="e">
        <f>IF(F1="售价",ROUND(PRODUCT(V41,AC7:AC40),0),ROUND(PRODUCT(V41,AC7:AC40),1))</f>
        <v>#DIV/0!</v>
      </c>
      <c r="W42" s="3740"/>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736" t="str">
        <f>A43</f>
        <v>估价对象XX用房的比较价值（楼面单价，元/平方米）</v>
      </c>
      <c r="Q43" s="3737"/>
      <c r="R43" s="3738" t="e">
        <f>IF(F1="售价",ROUND(IF(D42="简单平均",AVERAGE(R42:V42),R42*F42+T42*H42+V42*J42),0),ROUND(IF(D42="简单平均",AVERAGE(R42:V42),R42*F42+T42*H42+V42*J42),1))</f>
        <v>#DIV/0!</v>
      </c>
      <c r="S43" s="3738"/>
      <c r="T43" s="3738"/>
      <c r="U43" s="3738"/>
      <c r="V43" s="3738"/>
      <c r="W43" s="3738"/>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7"/>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09" t="s">
        <v>1753</v>
      </c>
      <c r="S4" s="3710"/>
      <c r="T4" s="3709" t="s">
        <v>1754</v>
      </c>
      <c r="U4" s="3710"/>
      <c r="V4" s="3734" t="s">
        <v>1755</v>
      </c>
      <c r="W4" s="3734"/>
      <c r="X4" s="1354"/>
      <c r="Y4" s="3709" t="s">
        <v>1757</v>
      </c>
      <c r="Z4" s="3710"/>
      <c r="AA4" s="3704" t="s">
        <v>1753</v>
      </c>
      <c r="AB4" s="3705" t="s">
        <v>1754</v>
      </c>
      <c r="AC4" s="3704" t="s">
        <v>1755</v>
      </c>
    </row>
    <row r="5" spans="1:29" ht="15">
      <c r="A5" s="358"/>
      <c r="B5" s="359"/>
      <c r="C5" s="3715" t="s">
        <v>1655</v>
      </c>
      <c r="D5" s="3716"/>
      <c r="E5" s="3713" t="s">
        <v>1656</v>
      </c>
      <c r="F5" s="3714"/>
      <c r="G5" s="3715" t="s">
        <v>1657</v>
      </c>
      <c r="H5" s="3716"/>
      <c r="I5" s="3715" t="s">
        <v>1658</v>
      </c>
      <c r="J5" s="3716"/>
      <c r="K5" s="559"/>
      <c r="L5" s="2689"/>
      <c r="M5" s="2690"/>
      <c r="N5" s="2690"/>
      <c r="O5" s="2690"/>
      <c r="P5" s="3728"/>
      <c r="Q5" s="3729"/>
      <c r="R5" s="3711"/>
      <c r="S5" s="3712"/>
      <c r="T5" s="3711"/>
      <c r="U5" s="3712"/>
      <c r="V5" s="3734"/>
      <c r="W5" s="3734"/>
      <c r="X5" s="1354"/>
      <c r="Y5" s="3711"/>
      <c r="Z5" s="3712"/>
      <c r="AA5" s="3705"/>
      <c r="AB5" s="3705"/>
      <c r="AC5" s="3705"/>
    </row>
    <row r="6" spans="1:29" ht="15.75" thickBot="1">
      <c r="A6" s="360"/>
      <c r="B6" s="361"/>
      <c r="C6" s="3717" t="s">
        <v>1659</v>
      </c>
      <c r="D6" s="3718"/>
      <c r="E6" s="3719" t="s">
        <v>1659</v>
      </c>
      <c r="F6" s="3720"/>
      <c r="G6" s="3717" t="s">
        <v>1659</v>
      </c>
      <c r="H6" s="3718"/>
      <c r="I6" s="3717" t="s">
        <v>1659</v>
      </c>
      <c r="J6" s="3718"/>
      <c r="K6" s="559" t="s">
        <v>1660</v>
      </c>
      <c r="L6" s="2689"/>
      <c r="M6" s="2690"/>
      <c r="N6" s="2690"/>
      <c r="O6" s="2690"/>
      <c r="P6" s="3730"/>
      <c r="Q6" s="3731"/>
      <c r="R6" s="3711"/>
      <c r="S6" s="3712"/>
      <c r="T6" s="3732"/>
      <c r="U6" s="3733"/>
      <c r="V6" s="3734"/>
      <c r="W6" s="3734"/>
      <c r="X6" s="1354"/>
      <c r="Y6" s="3732"/>
      <c r="Z6" s="3733"/>
      <c r="AA6" s="3706"/>
      <c r="AB6" s="3706"/>
      <c r="AC6" s="3706"/>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707" t="s">
        <v>1662</v>
      </c>
      <c r="Q7" s="3735"/>
      <c r="R7" s="701" t="s">
        <v>14</v>
      </c>
      <c r="S7" s="702">
        <f t="shared" ref="S7:S14" si="0">F7</f>
        <v>0</v>
      </c>
      <c r="T7" s="701" t="s">
        <v>14</v>
      </c>
      <c r="U7" s="702">
        <f t="shared" ref="U7:U14" si="1">H7</f>
        <v>0</v>
      </c>
      <c r="V7" s="701" t="s">
        <v>14</v>
      </c>
      <c r="W7" s="702">
        <f t="shared" ref="W7:W14" si="2">J7</f>
        <v>0</v>
      </c>
      <c r="X7" s="703"/>
      <c r="Y7" s="3707" t="s">
        <v>1662</v>
      </c>
      <c r="Z7" s="3708"/>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707" t="s">
        <v>1665</v>
      </c>
      <c r="Q8" s="3708"/>
      <c r="R8" s="701" t="s">
        <v>14</v>
      </c>
      <c r="S8" s="702">
        <f t="shared" si="0"/>
        <v>100</v>
      </c>
      <c r="T8" s="701" t="s">
        <v>14</v>
      </c>
      <c r="U8" s="702">
        <f t="shared" si="1"/>
        <v>100</v>
      </c>
      <c r="V8" s="701" t="s">
        <v>14</v>
      </c>
      <c r="W8" s="702">
        <f t="shared" si="2"/>
        <v>100</v>
      </c>
      <c r="X8" s="703"/>
      <c r="Y8" s="3707" t="s">
        <v>1665</v>
      </c>
      <c r="Z8" s="3708"/>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739" t="s">
        <v>1668</v>
      </c>
      <c r="Q9" s="1342" t="str">
        <f t="shared" ref="Q9:Q14" si="6">B9</f>
        <v>用途</v>
      </c>
      <c r="R9" s="701" t="s">
        <v>14</v>
      </c>
      <c r="S9" s="702">
        <f t="shared" si="0"/>
        <v>100</v>
      </c>
      <c r="T9" s="701" t="s">
        <v>14</v>
      </c>
      <c r="U9" s="702">
        <f t="shared" si="1"/>
        <v>100</v>
      </c>
      <c r="V9" s="701" t="s">
        <v>14</v>
      </c>
      <c r="W9" s="702">
        <f t="shared" si="2"/>
        <v>100</v>
      </c>
      <c r="X9" s="703"/>
      <c r="Y9" s="3651" t="s">
        <v>1669</v>
      </c>
      <c r="Z9" s="52" t="str">
        <f t="shared" ref="Z9:Z14" si="7">Q9</f>
        <v>用途</v>
      </c>
      <c r="AA9" s="704">
        <f t="shared" si="3"/>
        <v>1</v>
      </c>
      <c r="AB9" s="704">
        <f t="shared" si="4"/>
        <v>1</v>
      </c>
      <c r="AC9" s="704">
        <f t="shared" si="5"/>
        <v>1</v>
      </c>
    </row>
    <row r="10" spans="1:29" s="378" customFormat="1" ht="27">
      <c r="A10" s="589"/>
      <c r="B10" s="590" t="s">
        <v>1670</v>
      </c>
      <c r="C10" s="3408"/>
      <c r="D10" s="127">
        <v>100</v>
      </c>
      <c r="E10" s="3408"/>
      <c r="F10" s="127">
        <f>SUMIF(55:55,E10,56:56)-SUMIF(55:55,C10,56:56)+100</f>
        <v>100</v>
      </c>
      <c r="G10" s="3409"/>
      <c r="H10" s="127">
        <f>SUMIF(55:55,G10,56:56)-SUMIF(55:55,C10,56:56)+100</f>
        <v>100</v>
      </c>
      <c r="I10" s="3408"/>
      <c r="J10" s="127">
        <f>SUMIF(55:55,I10,56:56)-SUMIF(55:55,C10,56:56)+100</f>
        <v>100</v>
      </c>
      <c r="K10" s="560"/>
      <c r="L10" s="2693"/>
      <c r="M10" s="2694"/>
      <c r="N10" s="2694"/>
      <c r="O10" s="2694"/>
      <c r="P10" s="3739"/>
      <c r="Q10" s="1342" t="str">
        <f t="shared" si="6"/>
        <v>土地使用年限（年）</v>
      </c>
      <c r="R10" s="701" t="s">
        <v>14</v>
      </c>
      <c r="S10" s="702">
        <f t="shared" si="0"/>
        <v>100</v>
      </c>
      <c r="T10" s="701" t="s">
        <v>14</v>
      </c>
      <c r="U10" s="702">
        <f t="shared" si="1"/>
        <v>100</v>
      </c>
      <c r="V10" s="701" t="s">
        <v>14</v>
      </c>
      <c r="W10" s="702">
        <f t="shared" si="2"/>
        <v>100</v>
      </c>
      <c r="X10" s="703"/>
      <c r="Y10" s="3651"/>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739"/>
      <c r="Q11" s="1342">
        <f t="shared" si="6"/>
        <v>111</v>
      </c>
      <c r="R11" s="701" t="s">
        <v>14</v>
      </c>
      <c r="S11" s="702">
        <f t="shared" si="0"/>
        <v>100</v>
      </c>
      <c r="T11" s="701" t="s">
        <v>14</v>
      </c>
      <c r="U11" s="702">
        <f t="shared" si="1"/>
        <v>100</v>
      </c>
      <c r="V11" s="701" t="s">
        <v>14</v>
      </c>
      <c r="W11" s="702">
        <f t="shared" si="2"/>
        <v>100</v>
      </c>
      <c r="X11" s="703"/>
      <c r="Y11" s="3651"/>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739"/>
      <c r="Q12" s="1342">
        <f t="shared" si="6"/>
        <v>111</v>
      </c>
      <c r="R12" s="701" t="s">
        <v>14</v>
      </c>
      <c r="S12" s="702">
        <f t="shared" si="0"/>
        <v>100</v>
      </c>
      <c r="T12" s="701" t="s">
        <v>14</v>
      </c>
      <c r="U12" s="702">
        <f t="shared" si="1"/>
        <v>100</v>
      </c>
      <c r="V12" s="701" t="s">
        <v>14</v>
      </c>
      <c r="W12" s="702">
        <f t="shared" si="2"/>
        <v>100</v>
      </c>
      <c r="X12" s="703"/>
      <c r="Y12" s="3651"/>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739"/>
      <c r="Q13" s="1342">
        <f t="shared" si="6"/>
        <v>111</v>
      </c>
      <c r="R13" s="701" t="s">
        <v>14</v>
      </c>
      <c r="S13" s="702">
        <f t="shared" si="0"/>
        <v>100</v>
      </c>
      <c r="T13" s="701" t="s">
        <v>14</v>
      </c>
      <c r="U13" s="702">
        <f t="shared" si="1"/>
        <v>100</v>
      </c>
      <c r="V13" s="701" t="s">
        <v>14</v>
      </c>
      <c r="W13" s="702">
        <f t="shared" si="2"/>
        <v>100</v>
      </c>
      <c r="X13" s="703"/>
      <c r="Y13" s="3651"/>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741" t="s">
        <v>1673</v>
      </c>
      <c r="Q14" s="1351" t="str">
        <f t="shared" si="6"/>
        <v>交通便捷度</v>
      </c>
      <c r="R14" s="705" t="s">
        <v>14</v>
      </c>
      <c r="S14" s="706">
        <f t="shared" si="0"/>
        <v>100</v>
      </c>
      <c r="T14" s="705" t="s">
        <v>14</v>
      </c>
      <c r="U14" s="706">
        <f t="shared" si="1"/>
        <v>100</v>
      </c>
      <c r="V14" s="705" t="s">
        <v>14</v>
      </c>
      <c r="W14" s="706">
        <f t="shared" si="2"/>
        <v>100</v>
      </c>
      <c r="X14" s="1354"/>
      <c r="Y14" s="3741"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742"/>
      <c r="Q15" s="1351"/>
      <c r="R15" s="705"/>
      <c r="S15" s="706"/>
      <c r="T15" s="705"/>
      <c r="U15" s="706"/>
      <c r="V15" s="705"/>
      <c r="W15" s="706"/>
      <c r="X15" s="1354"/>
      <c r="Y15" s="3742"/>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742"/>
      <c r="Q16" s="1351" t="str">
        <f>B16</f>
        <v>公共配套设施</v>
      </c>
      <c r="R16" s="705" t="s">
        <v>14</v>
      </c>
      <c r="S16" s="706">
        <f>F16</f>
        <v>100</v>
      </c>
      <c r="T16" s="705" t="s">
        <v>14</v>
      </c>
      <c r="U16" s="706">
        <f>H16</f>
        <v>100</v>
      </c>
      <c r="V16" s="705" t="s">
        <v>14</v>
      </c>
      <c r="W16" s="706">
        <f>J16</f>
        <v>100</v>
      </c>
      <c r="X16" s="1354"/>
      <c r="Y16" s="3742"/>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742"/>
      <c r="Q17" s="1351"/>
      <c r="R17" s="705"/>
      <c r="S17" s="706"/>
      <c r="T17" s="705"/>
      <c r="U17" s="706"/>
      <c r="V17" s="705"/>
      <c r="W17" s="706"/>
      <c r="X17" s="1354"/>
      <c r="Y17" s="3742"/>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742"/>
      <c r="Q18" s="1351" t="str">
        <f>B18</f>
        <v>基础设施水平</v>
      </c>
      <c r="R18" s="705" t="s">
        <v>14</v>
      </c>
      <c r="S18" s="706">
        <f>F18</f>
        <v>100</v>
      </c>
      <c r="T18" s="705" t="s">
        <v>14</v>
      </c>
      <c r="U18" s="706">
        <f>H18</f>
        <v>100</v>
      </c>
      <c r="V18" s="705" t="s">
        <v>14</v>
      </c>
      <c r="W18" s="706">
        <f>J18</f>
        <v>100</v>
      </c>
      <c r="X18" s="1354"/>
      <c r="Y18" s="3742"/>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742"/>
      <c r="Q19" s="1351"/>
      <c r="R19" s="705"/>
      <c r="S19" s="706"/>
      <c r="T19" s="705"/>
      <c r="U19" s="706"/>
      <c r="V19" s="705"/>
      <c r="W19" s="706"/>
      <c r="X19" s="1354"/>
      <c r="Y19" s="3742"/>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742"/>
      <c r="Q20" s="1351" t="str">
        <f>B20</f>
        <v>自然及人文环境</v>
      </c>
      <c r="R20" s="705" t="s">
        <v>14</v>
      </c>
      <c r="S20" s="706">
        <f>F20</f>
        <v>100</v>
      </c>
      <c r="T20" s="705" t="s">
        <v>14</v>
      </c>
      <c r="U20" s="706">
        <f>H20</f>
        <v>100</v>
      </c>
      <c r="V20" s="705" t="s">
        <v>14</v>
      </c>
      <c r="W20" s="706">
        <f>J20</f>
        <v>100</v>
      </c>
      <c r="X20" s="1354"/>
      <c r="Y20" s="3742"/>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742"/>
      <c r="Q21" s="1351"/>
      <c r="R21" s="705"/>
      <c r="S21" s="706"/>
      <c r="T21" s="705"/>
      <c r="U21" s="706"/>
      <c r="V21" s="705"/>
      <c r="W21" s="706"/>
      <c r="X21" s="1354"/>
      <c r="Y21" s="3742"/>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742"/>
      <c r="Q22" s="1351" t="str">
        <f>B22</f>
        <v>楼层</v>
      </c>
      <c r="R22" s="705" t="s">
        <v>14</v>
      </c>
      <c r="S22" s="706">
        <f>F22</f>
        <v>100</v>
      </c>
      <c r="T22" s="705" t="s">
        <v>14</v>
      </c>
      <c r="U22" s="706">
        <f>H22</f>
        <v>100</v>
      </c>
      <c r="V22" s="705" t="s">
        <v>14</v>
      </c>
      <c r="W22" s="706">
        <f>J22</f>
        <v>100</v>
      </c>
      <c r="X22" s="1354"/>
      <c r="Y22" s="3742"/>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742"/>
      <c r="Q23" s="1351">
        <f>B23</f>
        <v>111</v>
      </c>
      <c r="R23" s="705" t="s">
        <v>14</v>
      </c>
      <c r="S23" s="706">
        <f>F23</f>
        <v>100</v>
      </c>
      <c r="T23" s="705" t="s">
        <v>14</v>
      </c>
      <c r="U23" s="706">
        <f>H23</f>
        <v>100</v>
      </c>
      <c r="V23" s="705" t="s">
        <v>14</v>
      </c>
      <c r="W23" s="706">
        <f>J23</f>
        <v>100</v>
      </c>
      <c r="X23" s="1354"/>
      <c r="Y23" s="3742"/>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742"/>
      <c r="Q24" s="1351">
        <f t="shared" ref="Q24:Q36" si="11">B24</f>
        <v>111</v>
      </c>
      <c r="R24" s="705" t="s">
        <v>14</v>
      </c>
      <c r="S24" s="706">
        <f>F24</f>
        <v>100</v>
      </c>
      <c r="T24" s="705" t="s">
        <v>14</v>
      </c>
      <c r="U24" s="706">
        <f>H24</f>
        <v>100</v>
      </c>
      <c r="V24" s="705" t="s">
        <v>14</v>
      </c>
      <c r="W24" s="706">
        <f>J24</f>
        <v>100</v>
      </c>
      <c r="X24" s="1354"/>
      <c r="Y24" s="3742"/>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742"/>
      <c r="Q25" s="1342">
        <f t="shared" si="11"/>
        <v>111</v>
      </c>
      <c r="R25" s="701" t="s">
        <v>14</v>
      </c>
      <c r="S25" s="702">
        <f>F25</f>
        <v>100</v>
      </c>
      <c r="T25" s="701" t="s">
        <v>14</v>
      </c>
      <c r="U25" s="702">
        <f>H25</f>
        <v>100</v>
      </c>
      <c r="V25" s="701" t="s">
        <v>14</v>
      </c>
      <c r="W25" s="702">
        <f>J25</f>
        <v>100</v>
      </c>
      <c r="X25" s="703"/>
      <c r="Y25" s="3742"/>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65"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746"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746"/>
      <c r="Q27" s="707" t="str">
        <f t="shared" si="11"/>
        <v>项目停车位配比</v>
      </c>
      <c r="R27" s="708" t="s">
        <v>14</v>
      </c>
      <c r="S27" s="709">
        <f t="shared" si="12"/>
        <v>100</v>
      </c>
      <c r="T27" s="708" t="s">
        <v>14</v>
      </c>
      <c r="U27" s="709">
        <f t="shared" si="13"/>
        <v>100</v>
      </c>
      <c r="V27" s="708" t="s">
        <v>14</v>
      </c>
      <c r="W27" s="709">
        <f t="shared" si="14"/>
        <v>100</v>
      </c>
      <c r="X27" s="710"/>
      <c r="Y27" s="3746"/>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746"/>
      <c r="Q28" s="1351" t="str">
        <f t="shared" si="11"/>
        <v>公共部分装修</v>
      </c>
      <c r="R28" s="705" t="s">
        <v>14</v>
      </c>
      <c r="S28" s="706">
        <f t="shared" si="12"/>
        <v>100</v>
      </c>
      <c r="T28" s="705" t="s">
        <v>14</v>
      </c>
      <c r="U28" s="706">
        <f t="shared" si="13"/>
        <v>100</v>
      </c>
      <c r="V28" s="705" t="s">
        <v>14</v>
      </c>
      <c r="W28" s="706">
        <f t="shared" si="14"/>
        <v>100</v>
      </c>
      <c r="X28" s="1354"/>
      <c r="Y28" s="3746"/>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746"/>
      <c r="Q29" s="1351" t="str">
        <f t="shared" si="11"/>
        <v>成新率</v>
      </c>
      <c r="R29" s="705" t="s">
        <v>14</v>
      </c>
      <c r="S29" s="706" t="e">
        <f t="shared" si="12"/>
        <v>#N/A</v>
      </c>
      <c r="T29" s="705" t="s">
        <v>14</v>
      </c>
      <c r="U29" s="706" t="e">
        <f t="shared" si="13"/>
        <v>#N/A</v>
      </c>
      <c r="V29" s="705" t="s">
        <v>14</v>
      </c>
      <c r="W29" s="706" t="e">
        <f t="shared" si="14"/>
        <v>#N/A</v>
      </c>
      <c r="X29" s="1354"/>
      <c r="Y29" s="3746"/>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746"/>
      <c r="Q30" s="1351" t="str">
        <f t="shared" si="11"/>
        <v>物业等级</v>
      </c>
      <c r="R30" s="705" t="s">
        <v>14</v>
      </c>
      <c r="S30" s="706">
        <f t="shared" si="12"/>
        <v>100</v>
      </c>
      <c r="T30" s="705" t="s">
        <v>14</v>
      </c>
      <c r="U30" s="706">
        <f t="shared" si="13"/>
        <v>100</v>
      </c>
      <c r="V30" s="705" t="s">
        <v>14</v>
      </c>
      <c r="W30" s="706">
        <f t="shared" si="14"/>
        <v>100</v>
      </c>
      <c r="X30" s="1354"/>
      <c r="Y30" s="3746"/>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746"/>
      <c r="Q31" s="1342" t="str">
        <f t="shared" si="11"/>
        <v>停车位面积</v>
      </c>
      <c r="R31" s="701" t="s">
        <v>14</v>
      </c>
      <c r="S31" s="702" t="e">
        <f t="shared" si="12"/>
        <v>#N/A</v>
      </c>
      <c r="T31" s="701" t="s">
        <v>14</v>
      </c>
      <c r="U31" s="702" t="e">
        <f t="shared" si="13"/>
        <v>#N/A</v>
      </c>
      <c r="V31" s="701" t="s">
        <v>14</v>
      </c>
      <c r="W31" s="702" t="e">
        <f t="shared" si="14"/>
        <v>#N/A</v>
      </c>
      <c r="X31" s="703"/>
      <c r="Y31" s="3746"/>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746" t="s">
        <v>1678</v>
      </c>
      <c r="Q32" s="1351" t="str">
        <f t="shared" si="11"/>
        <v>车位类型</v>
      </c>
      <c r="R32" s="705" t="s">
        <v>14</v>
      </c>
      <c r="S32" s="706">
        <f t="shared" si="12"/>
        <v>100</v>
      </c>
      <c r="T32" s="705" t="s">
        <v>14</v>
      </c>
      <c r="U32" s="706">
        <f t="shared" si="13"/>
        <v>100</v>
      </c>
      <c r="V32" s="705" t="s">
        <v>14</v>
      </c>
      <c r="W32" s="706">
        <f t="shared" si="14"/>
        <v>100</v>
      </c>
      <c r="X32" s="1354"/>
      <c r="Y32" s="3746"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746"/>
      <c r="Q33" s="1351" t="str">
        <f t="shared" si="11"/>
        <v>是否直接入户</v>
      </c>
      <c r="R33" s="705" t="s">
        <v>14</v>
      </c>
      <c r="S33" s="706">
        <f t="shared" si="12"/>
        <v>100</v>
      </c>
      <c r="T33" s="705" t="s">
        <v>14</v>
      </c>
      <c r="U33" s="706">
        <f t="shared" si="13"/>
        <v>100</v>
      </c>
      <c r="V33" s="705" t="s">
        <v>14</v>
      </c>
      <c r="W33" s="706">
        <f t="shared" si="14"/>
        <v>100</v>
      </c>
      <c r="X33" s="1354"/>
      <c r="Y33" s="3746"/>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746"/>
      <c r="Q34" s="1351">
        <f t="shared" si="11"/>
        <v>111</v>
      </c>
      <c r="R34" s="705" t="s">
        <v>14</v>
      </c>
      <c r="S34" s="706">
        <f t="shared" si="12"/>
        <v>100</v>
      </c>
      <c r="T34" s="705" t="s">
        <v>14</v>
      </c>
      <c r="U34" s="706">
        <f t="shared" si="13"/>
        <v>100</v>
      </c>
      <c r="V34" s="705" t="s">
        <v>14</v>
      </c>
      <c r="W34" s="706">
        <f t="shared" si="14"/>
        <v>100</v>
      </c>
      <c r="X34" s="1354"/>
      <c r="Y34" s="3746"/>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746"/>
      <c r="Q35" s="707">
        <f t="shared" si="11"/>
        <v>111</v>
      </c>
      <c r="R35" s="708" t="s">
        <v>14</v>
      </c>
      <c r="S35" s="709">
        <f t="shared" si="12"/>
        <v>100</v>
      </c>
      <c r="T35" s="708" t="s">
        <v>14</v>
      </c>
      <c r="U35" s="709">
        <f t="shared" si="13"/>
        <v>100</v>
      </c>
      <c r="V35" s="708" t="s">
        <v>14</v>
      </c>
      <c r="W35" s="709">
        <f t="shared" si="14"/>
        <v>100</v>
      </c>
      <c r="X35" s="710"/>
      <c r="Y35" s="3746"/>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746"/>
      <c r="Q36" s="1351">
        <f t="shared" si="11"/>
        <v>111</v>
      </c>
      <c r="R36" s="705" t="s">
        <v>14</v>
      </c>
      <c r="S36" s="706">
        <f t="shared" si="12"/>
        <v>100</v>
      </c>
      <c r="T36" s="705" t="s">
        <v>14</v>
      </c>
      <c r="U36" s="706">
        <f t="shared" si="13"/>
        <v>100</v>
      </c>
      <c r="V36" s="705" t="s">
        <v>14</v>
      </c>
      <c r="W36" s="706">
        <f t="shared" si="14"/>
        <v>100</v>
      </c>
      <c r="X36" s="1354"/>
      <c r="Y36" s="3746"/>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8"/>
      <c r="M37" s="2699"/>
      <c r="N37" s="2690"/>
      <c r="O37" s="2699"/>
      <c r="P37" s="3739" t="str">
        <f>A37</f>
        <v>成交单价</v>
      </c>
      <c r="Q37" s="3739"/>
      <c r="R37" s="3740">
        <f>E37</f>
        <v>0</v>
      </c>
      <c r="S37" s="3740"/>
      <c r="T37" s="3740">
        <f>G37</f>
        <v>0</v>
      </c>
      <c r="U37" s="3740"/>
      <c r="V37" s="3740">
        <f>I37</f>
        <v>0</v>
      </c>
      <c r="W37" s="3740"/>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739" t="str">
        <f>A38</f>
        <v>比较价值（元/平方米）</v>
      </c>
      <c r="Q38" s="3739"/>
      <c r="R38" s="3740" t="e">
        <f>IF(F1="售价",ROUND(PRODUCT(R37,AA7:AA36),0),ROUND(PRODUCT(R37,AA7:AA36),1))</f>
        <v>#DIV/0!</v>
      </c>
      <c r="S38" s="3740"/>
      <c r="T38" s="3740" t="e">
        <f>IF(F1="售价",ROUND(PRODUCT(T37,AB7:AB36),0),ROUND(PRODUCT(T37,AB7:AB36),1))</f>
        <v>#DIV/0!</v>
      </c>
      <c r="U38" s="3740"/>
      <c r="V38" s="3740" t="e">
        <f>IF(F1="售价",ROUND(PRODUCT(V37,AC7:AC36),0),ROUND(PRODUCT(V37,AC7:AC36),1))</f>
        <v>#DIV/0!</v>
      </c>
      <c r="W38" s="3740"/>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736" t="str">
        <f>A39</f>
        <v>估价对象XX用房的比较价值（楼面单价，元/平方米）</v>
      </c>
      <c r="Q39" s="3737"/>
      <c r="R39" s="3766" t="e">
        <f>IF(F1="售价",ROUND(IF(D38="简单平均",AVERAGE(R38:W38),R38*F38+T38*H38+V38*J38),0),ROUND(IF(D38="简单平均",AVERAGE(R38:V38),R38*F38+T38*H38+V38*J38),1))</f>
        <v>#DIV/0!</v>
      </c>
      <c r="S39" s="3766"/>
      <c r="T39" s="3766"/>
      <c r="U39" s="3766"/>
      <c r="V39" s="3766"/>
      <c r="W39" s="3766"/>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09" t="s">
        <v>1753</v>
      </c>
      <c r="S4" s="3710"/>
      <c r="T4" s="3709" t="s">
        <v>1754</v>
      </c>
      <c r="U4" s="3710"/>
      <c r="V4" s="3734" t="s">
        <v>1755</v>
      </c>
      <c r="W4" s="3734"/>
      <c r="X4" s="1354"/>
      <c r="Y4" s="3709" t="s">
        <v>1757</v>
      </c>
      <c r="Z4" s="3710"/>
      <c r="AA4" s="3704" t="s">
        <v>1753</v>
      </c>
      <c r="AB4" s="3705" t="s">
        <v>1754</v>
      </c>
      <c r="AC4" s="3704" t="s">
        <v>1755</v>
      </c>
    </row>
    <row r="5" spans="1:29" ht="15">
      <c r="A5" s="358"/>
      <c r="B5" s="359"/>
      <c r="C5" s="3715" t="s">
        <v>1655</v>
      </c>
      <c r="D5" s="3716"/>
      <c r="E5" s="3713" t="s">
        <v>1656</v>
      </c>
      <c r="F5" s="3714"/>
      <c r="G5" s="3715" t="s">
        <v>1657</v>
      </c>
      <c r="H5" s="3716"/>
      <c r="I5" s="3715" t="s">
        <v>1658</v>
      </c>
      <c r="J5" s="3716"/>
      <c r="K5" s="559"/>
      <c r="L5" s="2689"/>
      <c r="M5" s="2690"/>
      <c r="N5" s="2690"/>
      <c r="O5" s="2690"/>
      <c r="P5" s="3728"/>
      <c r="Q5" s="3729"/>
      <c r="R5" s="3711"/>
      <c r="S5" s="3712"/>
      <c r="T5" s="3711"/>
      <c r="U5" s="3712"/>
      <c r="V5" s="3734"/>
      <c r="W5" s="3734"/>
      <c r="X5" s="1354"/>
      <c r="Y5" s="3711"/>
      <c r="Z5" s="3712"/>
      <c r="AA5" s="3705"/>
      <c r="AB5" s="3705"/>
      <c r="AC5" s="3705"/>
    </row>
    <row r="6" spans="1:29" ht="15.75" thickBot="1">
      <c r="A6" s="360"/>
      <c r="B6" s="361"/>
      <c r="C6" s="3717" t="s">
        <v>1659</v>
      </c>
      <c r="D6" s="3718"/>
      <c r="E6" s="3719" t="s">
        <v>1659</v>
      </c>
      <c r="F6" s="3720"/>
      <c r="G6" s="3717" t="s">
        <v>1659</v>
      </c>
      <c r="H6" s="3718"/>
      <c r="I6" s="3717" t="s">
        <v>1659</v>
      </c>
      <c r="J6" s="3718"/>
      <c r="K6" s="559" t="s">
        <v>1660</v>
      </c>
      <c r="L6" s="2689"/>
      <c r="M6" s="2690"/>
      <c r="N6" s="2690"/>
      <c r="O6" s="2690"/>
      <c r="P6" s="3730"/>
      <c r="Q6" s="3731"/>
      <c r="R6" s="3711"/>
      <c r="S6" s="3712"/>
      <c r="T6" s="3732"/>
      <c r="U6" s="3733"/>
      <c r="V6" s="3734"/>
      <c r="W6" s="3734"/>
      <c r="X6" s="1354"/>
      <c r="Y6" s="3732"/>
      <c r="Z6" s="3733"/>
      <c r="AA6" s="3706"/>
      <c r="AB6" s="3706"/>
      <c r="AC6" s="3706"/>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707" t="s">
        <v>1662</v>
      </c>
      <c r="Q7" s="3735"/>
      <c r="R7" s="701" t="s">
        <v>14</v>
      </c>
      <c r="S7" s="702">
        <f t="shared" ref="S7:S14" si="0">F7</f>
        <v>0</v>
      </c>
      <c r="T7" s="701" t="s">
        <v>14</v>
      </c>
      <c r="U7" s="702">
        <f t="shared" ref="U7:U14" si="1">H7</f>
        <v>0</v>
      </c>
      <c r="V7" s="701" t="s">
        <v>14</v>
      </c>
      <c r="W7" s="702">
        <f t="shared" ref="W7:W14" si="2">J7</f>
        <v>0</v>
      </c>
      <c r="X7" s="703"/>
      <c r="Y7" s="3707" t="s">
        <v>1662</v>
      </c>
      <c r="Z7" s="3708"/>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707" t="s">
        <v>1665</v>
      </c>
      <c r="Q8" s="3708"/>
      <c r="R8" s="701" t="s">
        <v>14</v>
      </c>
      <c r="S8" s="702">
        <f t="shared" si="0"/>
        <v>100</v>
      </c>
      <c r="T8" s="701" t="s">
        <v>14</v>
      </c>
      <c r="U8" s="702">
        <f t="shared" si="1"/>
        <v>100</v>
      </c>
      <c r="V8" s="701" t="s">
        <v>14</v>
      </c>
      <c r="W8" s="702">
        <f t="shared" si="2"/>
        <v>100</v>
      </c>
      <c r="X8" s="703"/>
      <c r="Y8" s="3707" t="s">
        <v>1665</v>
      </c>
      <c r="Z8" s="3708"/>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739" t="s">
        <v>1668</v>
      </c>
      <c r="Q9" s="1342" t="str">
        <f t="shared" ref="Q9:Q14" si="6">B9</f>
        <v>用途</v>
      </c>
      <c r="R9" s="701" t="s">
        <v>14</v>
      </c>
      <c r="S9" s="702">
        <f t="shared" si="0"/>
        <v>100</v>
      </c>
      <c r="T9" s="701" t="s">
        <v>14</v>
      </c>
      <c r="U9" s="702">
        <f t="shared" si="1"/>
        <v>100</v>
      </c>
      <c r="V9" s="701" t="s">
        <v>14</v>
      </c>
      <c r="W9" s="702">
        <f t="shared" si="2"/>
        <v>100</v>
      </c>
      <c r="X9" s="703"/>
      <c r="Y9" s="3651" t="s">
        <v>1669</v>
      </c>
      <c r="Z9" s="52" t="str">
        <f t="shared" ref="Z9:Z14" si="7">Q9</f>
        <v>用途</v>
      </c>
      <c r="AA9" s="704">
        <f t="shared" si="3"/>
        <v>1</v>
      </c>
      <c r="AB9" s="704">
        <f t="shared" si="4"/>
        <v>1</v>
      </c>
      <c r="AC9" s="704">
        <f t="shared" si="5"/>
        <v>1</v>
      </c>
    </row>
    <row r="10" spans="1:29" s="378" customFormat="1" ht="27">
      <c r="A10" s="374"/>
      <c r="B10" s="375" t="s">
        <v>1670</v>
      </c>
      <c r="C10" s="3408"/>
      <c r="D10" s="127">
        <v>100</v>
      </c>
      <c r="E10" s="3408"/>
      <c r="F10" s="376">
        <f>SUMIF(53:53,E10,54:54)-SUMIF(53:53,C10,54:54)+100</f>
        <v>100</v>
      </c>
      <c r="G10" s="3408"/>
      <c r="H10" s="127">
        <f>SUMIF(53:53,G10,54:54)-SUMIF(53:53,C10,54:54)+100</f>
        <v>100</v>
      </c>
      <c r="I10" s="3408"/>
      <c r="J10" s="127">
        <f>SUMIF(53:53,I10,54:54)-SUMIF(53:53,C10,54:54)+100</f>
        <v>100</v>
      </c>
      <c r="K10" s="560"/>
      <c r="L10" s="2693"/>
      <c r="M10" s="2694"/>
      <c r="N10" s="2694"/>
      <c r="O10" s="2747"/>
      <c r="P10" s="3739"/>
      <c r="Q10" s="1342" t="str">
        <f t="shared" si="6"/>
        <v>土地使用年限（年）</v>
      </c>
      <c r="R10" s="701" t="s">
        <v>14</v>
      </c>
      <c r="S10" s="702">
        <f t="shared" si="0"/>
        <v>100</v>
      </c>
      <c r="T10" s="701" t="s">
        <v>14</v>
      </c>
      <c r="U10" s="702">
        <f t="shared" si="1"/>
        <v>100</v>
      </c>
      <c r="V10" s="701" t="s">
        <v>14</v>
      </c>
      <c r="W10" s="702">
        <f t="shared" si="2"/>
        <v>100</v>
      </c>
      <c r="X10" s="703"/>
      <c r="Y10" s="3651"/>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739"/>
      <c r="Q11" s="1342">
        <f t="shared" si="6"/>
        <v>111</v>
      </c>
      <c r="R11" s="701" t="s">
        <v>14</v>
      </c>
      <c r="S11" s="702">
        <f t="shared" si="0"/>
        <v>100</v>
      </c>
      <c r="T11" s="701" t="s">
        <v>14</v>
      </c>
      <c r="U11" s="702">
        <f t="shared" si="1"/>
        <v>100</v>
      </c>
      <c r="V11" s="701" t="s">
        <v>14</v>
      </c>
      <c r="W11" s="702">
        <f t="shared" si="2"/>
        <v>100</v>
      </c>
      <c r="X11" s="703"/>
      <c r="Y11" s="3651"/>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739"/>
      <c r="Q12" s="1342">
        <f t="shared" si="6"/>
        <v>111</v>
      </c>
      <c r="R12" s="701" t="s">
        <v>14</v>
      </c>
      <c r="S12" s="702">
        <f t="shared" si="0"/>
        <v>100</v>
      </c>
      <c r="T12" s="701" t="s">
        <v>14</v>
      </c>
      <c r="U12" s="702">
        <f t="shared" si="1"/>
        <v>100</v>
      </c>
      <c r="V12" s="701" t="s">
        <v>14</v>
      </c>
      <c r="W12" s="702">
        <f t="shared" si="2"/>
        <v>100</v>
      </c>
      <c r="X12" s="703"/>
      <c r="Y12" s="3651"/>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739"/>
      <c r="Q13" s="1342">
        <f t="shared" si="6"/>
        <v>111</v>
      </c>
      <c r="R13" s="701" t="s">
        <v>14</v>
      </c>
      <c r="S13" s="702">
        <f t="shared" si="0"/>
        <v>100</v>
      </c>
      <c r="T13" s="701" t="s">
        <v>14</v>
      </c>
      <c r="U13" s="702">
        <f t="shared" si="1"/>
        <v>100</v>
      </c>
      <c r="V13" s="701" t="s">
        <v>14</v>
      </c>
      <c r="W13" s="702">
        <f t="shared" si="2"/>
        <v>100</v>
      </c>
      <c r="X13" s="703"/>
      <c r="Y13" s="3651"/>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741" t="s">
        <v>1673</v>
      </c>
      <c r="Q14" s="1351" t="str">
        <f t="shared" si="6"/>
        <v>交通便捷度</v>
      </c>
      <c r="R14" s="705" t="s">
        <v>14</v>
      </c>
      <c r="S14" s="706">
        <f t="shared" si="0"/>
        <v>100</v>
      </c>
      <c r="T14" s="705" t="s">
        <v>14</v>
      </c>
      <c r="U14" s="706">
        <f t="shared" si="1"/>
        <v>100</v>
      </c>
      <c r="V14" s="705" t="s">
        <v>14</v>
      </c>
      <c r="W14" s="706">
        <f t="shared" si="2"/>
        <v>100</v>
      </c>
      <c r="X14" s="1354"/>
      <c r="Y14" s="3741"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742"/>
      <c r="Q15" s="1351"/>
      <c r="R15" s="705"/>
      <c r="S15" s="706"/>
      <c r="T15" s="705"/>
      <c r="U15" s="706"/>
      <c r="V15" s="705"/>
      <c r="W15" s="706"/>
      <c r="X15" s="1354"/>
      <c r="Y15" s="3742"/>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742"/>
      <c r="Q16" s="1351" t="str">
        <f>B16</f>
        <v>公共配套设施</v>
      </c>
      <c r="R16" s="705" t="s">
        <v>14</v>
      </c>
      <c r="S16" s="706">
        <f>F16</f>
        <v>100</v>
      </c>
      <c r="T16" s="705" t="s">
        <v>14</v>
      </c>
      <c r="U16" s="706">
        <f>H16</f>
        <v>100</v>
      </c>
      <c r="V16" s="705" t="s">
        <v>14</v>
      </c>
      <c r="W16" s="706">
        <f>J16</f>
        <v>100</v>
      </c>
      <c r="X16" s="1354"/>
      <c r="Y16" s="3742"/>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742"/>
      <c r="Q17" s="1351"/>
      <c r="R17" s="705"/>
      <c r="S17" s="706"/>
      <c r="T17" s="705"/>
      <c r="U17" s="706"/>
      <c r="V17" s="705"/>
      <c r="W17" s="706"/>
      <c r="X17" s="1354"/>
      <c r="Y17" s="3742"/>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742"/>
      <c r="Q18" s="1351" t="str">
        <f>B18</f>
        <v>基础设施水平</v>
      </c>
      <c r="R18" s="705" t="s">
        <v>14</v>
      </c>
      <c r="S18" s="706">
        <f>F18</f>
        <v>100</v>
      </c>
      <c r="T18" s="705" t="s">
        <v>14</v>
      </c>
      <c r="U18" s="706">
        <f>H18</f>
        <v>100</v>
      </c>
      <c r="V18" s="705" t="s">
        <v>14</v>
      </c>
      <c r="W18" s="706">
        <f>J18</f>
        <v>100</v>
      </c>
      <c r="X18" s="1354"/>
      <c r="Y18" s="3742"/>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742"/>
      <c r="Q19" s="1351"/>
      <c r="R19" s="705"/>
      <c r="S19" s="706"/>
      <c r="T19" s="705"/>
      <c r="U19" s="706"/>
      <c r="V19" s="705"/>
      <c r="W19" s="706"/>
      <c r="X19" s="1354"/>
      <c r="Y19" s="3742"/>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742"/>
      <c r="Q20" s="1351" t="str">
        <f>B20</f>
        <v>自然及人文环境</v>
      </c>
      <c r="R20" s="705" t="s">
        <v>14</v>
      </c>
      <c r="S20" s="706">
        <f>F20</f>
        <v>100</v>
      </c>
      <c r="T20" s="705" t="s">
        <v>14</v>
      </c>
      <c r="U20" s="706">
        <f>H20</f>
        <v>100</v>
      </c>
      <c r="V20" s="705" t="s">
        <v>14</v>
      </c>
      <c r="W20" s="706">
        <f>J20</f>
        <v>100</v>
      </c>
      <c r="X20" s="1354"/>
      <c r="Y20" s="3742"/>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742"/>
      <c r="Q21" s="1351"/>
      <c r="R21" s="705"/>
      <c r="S21" s="706"/>
      <c r="T21" s="705"/>
      <c r="U21" s="706"/>
      <c r="V21" s="705"/>
      <c r="W21" s="706"/>
      <c r="X21" s="1354"/>
      <c r="Y21" s="3742"/>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742"/>
      <c r="Q22" s="1351" t="str">
        <f>B22</f>
        <v>楼层</v>
      </c>
      <c r="R22" s="705" t="s">
        <v>14</v>
      </c>
      <c r="S22" s="706">
        <f>F22</f>
        <v>100</v>
      </c>
      <c r="T22" s="705" t="s">
        <v>14</v>
      </c>
      <c r="U22" s="706">
        <f>H22</f>
        <v>100</v>
      </c>
      <c r="V22" s="705" t="s">
        <v>14</v>
      </c>
      <c r="W22" s="706">
        <f>J22</f>
        <v>100</v>
      </c>
      <c r="X22" s="1354"/>
      <c r="Y22" s="3742"/>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742"/>
      <c r="Q23" s="1351">
        <f>B23</f>
        <v>111</v>
      </c>
      <c r="R23" s="705" t="s">
        <v>14</v>
      </c>
      <c r="S23" s="706">
        <f>F23</f>
        <v>100</v>
      </c>
      <c r="T23" s="705" t="s">
        <v>14</v>
      </c>
      <c r="U23" s="706">
        <f>H23</f>
        <v>100</v>
      </c>
      <c r="V23" s="705" t="s">
        <v>14</v>
      </c>
      <c r="W23" s="706">
        <f>J23</f>
        <v>100</v>
      </c>
      <c r="X23" s="1354"/>
      <c r="Y23" s="3742"/>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742"/>
      <c r="Q24" s="1351">
        <f t="shared" ref="Q24:Q34" si="11">B24</f>
        <v>111</v>
      </c>
      <c r="R24" s="705" t="s">
        <v>14</v>
      </c>
      <c r="S24" s="706">
        <f>F24</f>
        <v>100</v>
      </c>
      <c r="T24" s="705" t="s">
        <v>14</v>
      </c>
      <c r="U24" s="706">
        <f>H24</f>
        <v>100</v>
      </c>
      <c r="V24" s="705" t="s">
        <v>14</v>
      </c>
      <c r="W24" s="706">
        <f>J24</f>
        <v>100</v>
      </c>
      <c r="X24" s="1354"/>
      <c r="Y24" s="3742"/>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742"/>
      <c r="Q25" s="1342">
        <f t="shared" si="11"/>
        <v>111</v>
      </c>
      <c r="R25" s="701" t="s">
        <v>14</v>
      </c>
      <c r="S25" s="702">
        <f>F25</f>
        <v>100</v>
      </c>
      <c r="T25" s="701" t="s">
        <v>14</v>
      </c>
      <c r="U25" s="702">
        <f>H25</f>
        <v>100</v>
      </c>
      <c r="V25" s="701" t="s">
        <v>14</v>
      </c>
      <c r="W25" s="702">
        <f>J25</f>
        <v>100</v>
      </c>
      <c r="X25" s="703"/>
      <c r="Y25" s="3742"/>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65"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746"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746"/>
      <c r="Q27" s="707" t="str">
        <f t="shared" si="11"/>
        <v>成新率</v>
      </c>
      <c r="R27" s="708" t="s">
        <v>14</v>
      </c>
      <c r="S27" s="709" t="e">
        <f t="shared" si="12"/>
        <v>#N/A</v>
      </c>
      <c r="T27" s="708" t="s">
        <v>14</v>
      </c>
      <c r="U27" s="709" t="e">
        <f t="shared" si="13"/>
        <v>#N/A</v>
      </c>
      <c r="V27" s="708" t="s">
        <v>14</v>
      </c>
      <c r="W27" s="709" t="e">
        <f t="shared" si="14"/>
        <v>#N/A</v>
      </c>
      <c r="X27" s="710"/>
      <c r="Y27" s="3746"/>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746"/>
      <c r="Q28" s="1351" t="str">
        <f t="shared" si="11"/>
        <v>物业等级</v>
      </c>
      <c r="R28" s="705" t="s">
        <v>14</v>
      </c>
      <c r="S28" s="706">
        <f t="shared" si="12"/>
        <v>100</v>
      </c>
      <c r="T28" s="705" t="s">
        <v>14</v>
      </c>
      <c r="U28" s="706">
        <f t="shared" si="13"/>
        <v>100</v>
      </c>
      <c r="V28" s="705" t="s">
        <v>14</v>
      </c>
      <c r="W28" s="706">
        <f t="shared" si="14"/>
        <v>100</v>
      </c>
      <c r="X28" s="1354"/>
      <c r="Y28" s="3746"/>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746"/>
      <c r="Q29" s="1351" t="str">
        <f t="shared" si="11"/>
        <v>有无电梯</v>
      </c>
      <c r="R29" s="705" t="s">
        <v>14</v>
      </c>
      <c r="S29" s="706">
        <f t="shared" si="12"/>
        <v>100</v>
      </c>
      <c r="T29" s="705" t="s">
        <v>14</v>
      </c>
      <c r="U29" s="706">
        <f t="shared" si="13"/>
        <v>100</v>
      </c>
      <c r="V29" s="705" t="s">
        <v>14</v>
      </c>
      <c r="W29" s="706">
        <f t="shared" si="14"/>
        <v>100</v>
      </c>
      <c r="X29" s="1354"/>
      <c r="Y29" s="3746"/>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746"/>
      <c r="Q30" s="1351" t="str">
        <f t="shared" si="11"/>
        <v>建筑面积</v>
      </c>
      <c r="R30" s="705" t="s">
        <v>14</v>
      </c>
      <c r="S30" s="706" t="e">
        <f t="shared" si="12"/>
        <v>#N/A</v>
      </c>
      <c r="T30" s="705" t="s">
        <v>14</v>
      </c>
      <c r="U30" s="706" t="e">
        <f t="shared" si="13"/>
        <v>#N/A</v>
      </c>
      <c r="V30" s="705" t="s">
        <v>14</v>
      </c>
      <c r="W30" s="706" t="e">
        <f t="shared" si="14"/>
        <v>#N/A</v>
      </c>
      <c r="X30" s="1354"/>
      <c r="Y30" s="3746"/>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746"/>
      <c r="Q31" s="1342" t="str">
        <f t="shared" si="11"/>
        <v>是否封闭</v>
      </c>
      <c r="R31" s="701" t="s">
        <v>14</v>
      </c>
      <c r="S31" s="702">
        <f t="shared" si="12"/>
        <v>100</v>
      </c>
      <c r="T31" s="701" t="s">
        <v>14</v>
      </c>
      <c r="U31" s="702">
        <f t="shared" si="13"/>
        <v>100</v>
      </c>
      <c r="V31" s="701" t="s">
        <v>14</v>
      </c>
      <c r="W31" s="702">
        <f t="shared" si="14"/>
        <v>100</v>
      </c>
      <c r="X31" s="703"/>
      <c r="Y31" s="3746"/>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746" t="s">
        <v>1678</v>
      </c>
      <c r="Q32" s="1351">
        <f t="shared" si="11"/>
        <v>111</v>
      </c>
      <c r="R32" s="705" t="s">
        <v>14</v>
      </c>
      <c r="S32" s="706">
        <f t="shared" si="12"/>
        <v>100</v>
      </c>
      <c r="T32" s="705" t="s">
        <v>14</v>
      </c>
      <c r="U32" s="706">
        <f t="shared" si="13"/>
        <v>100</v>
      </c>
      <c r="V32" s="705" t="s">
        <v>14</v>
      </c>
      <c r="W32" s="706">
        <f t="shared" si="14"/>
        <v>100</v>
      </c>
      <c r="X32" s="1354"/>
      <c r="Y32" s="3746"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746"/>
      <c r="Q33" s="1351">
        <f t="shared" si="11"/>
        <v>111</v>
      </c>
      <c r="R33" s="705" t="s">
        <v>14</v>
      </c>
      <c r="S33" s="706">
        <f t="shared" si="12"/>
        <v>100</v>
      </c>
      <c r="T33" s="705" t="s">
        <v>14</v>
      </c>
      <c r="U33" s="706">
        <f t="shared" si="13"/>
        <v>100</v>
      </c>
      <c r="V33" s="705" t="s">
        <v>14</v>
      </c>
      <c r="W33" s="706">
        <f t="shared" si="14"/>
        <v>100</v>
      </c>
      <c r="X33" s="1354"/>
      <c r="Y33" s="3746"/>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746"/>
      <c r="Q34" s="1351">
        <f t="shared" si="11"/>
        <v>111</v>
      </c>
      <c r="R34" s="705" t="s">
        <v>14</v>
      </c>
      <c r="S34" s="706">
        <f t="shared" si="12"/>
        <v>100</v>
      </c>
      <c r="T34" s="705" t="s">
        <v>14</v>
      </c>
      <c r="U34" s="706">
        <f t="shared" si="13"/>
        <v>100</v>
      </c>
      <c r="V34" s="705" t="s">
        <v>14</v>
      </c>
      <c r="W34" s="706">
        <f t="shared" si="14"/>
        <v>100</v>
      </c>
      <c r="X34" s="1354"/>
      <c r="Y34" s="3746"/>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739" t="str">
        <f>A35</f>
        <v>成交单价（元/平方米）</v>
      </c>
      <c r="Q35" s="3739"/>
      <c r="R35" s="3740">
        <f>E35</f>
        <v>0</v>
      </c>
      <c r="S35" s="3740"/>
      <c r="T35" s="3740">
        <f>G35</f>
        <v>0</v>
      </c>
      <c r="U35" s="3740"/>
      <c r="V35" s="3740">
        <f>I35</f>
        <v>0</v>
      </c>
      <c r="W35" s="3740"/>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739" t="str">
        <f>A36</f>
        <v>比较价值（元/平方米）</v>
      </c>
      <c r="Q36" s="3739"/>
      <c r="R36" s="3740" t="e">
        <f>IF(F1="售价",ROUND(PRODUCT(R35,AA7:AA34),0),ROUND(PRODUCT(R35,AA7:AA34),1))</f>
        <v>#DIV/0!</v>
      </c>
      <c r="S36" s="3740"/>
      <c r="T36" s="3740" t="e">
        <f>IF(F1="售价",ROUND(PRODUCT(T35,AB7:AB34),0),ROUND(PRODUCT(T35,AB7:AB34),1))</f>
        <v>#DIV/0!</v>
      </c>
      <c r="U36" s="3740"/>
      <c r="V36" s="3740" t="e">
        <f>IF(F1="售价",ROUND(PRODUCT(V35,AC7:AC34),0),ROUND(PRODUCT(V35,AC7:AC34),1))</f>
        <v>#DIV/0!</v>
      </c>
      <c r="W36" s="3740"/>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736" t="str">
        <f>A37</f>
        <v>估价对象XX用房的比较价值（楼面单价，元/平方米）</v>
      </c>
      <c r="Q37" s="3737"/>
      <c r="R37" s="3766" t="e">
        <f>IF(F1="售价",ROUND(IF(D36="简单平均",AVERAGE(R36:W36),R36*F36+T36*H36+V36*J36),0),ROUND(IF(D36="简单平均",AVERAGE(R36:V36),R36*F36+T36*H36+V36*J36),1))</f>
        <v>#DIV/0!</v>
      </c>
      <c r="S37" s="3766"/>
      <c r="T37" s="3766"/>
      <c r="U37" s="3766"/>
      <c r="V37" s="3766"/>
      <c r="W37" s="3766"/>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09" t="s">
        <v>1753</v>
      </c>
      <c r="S4" s="3710"/>
      <c r="T4" s="3709" t="s">
        <v>1754</v>
      </c>
      <c r="U4" s="3710"/>
      <c r="V4" s="3734" t="s">
        <v>1755</v>
      </c>
      <c r="W4" s="3734"/>
      <c r="X4" s="1354"/>
      <c r="Y4" s="3709" t="s">
        <v>1757</v>
      </c>
      <c r="Z4" s="3710"/>
      <c r="AA4" s="3704" t="s">
        <v>1753</v>
      </c>
      <c r="AB4" s="3705" t="s">
        <v>1754</v>
      </c>
      <c r="AC4" s="3704" t="s">
        <v>1755</v>
      </c>
    </row>
    <row r="5" spans="1:30" ht="15">
      <c r="A5" s="358"/>
      <c r="B5" s="359"/>
      <c r="C5" s="3715" t="s">
        <v>1655</v>
      </c>
      <c r="D5" s="3716"/>
      <c r="E5" s="3713" t="s">
        <v>1656</v>
      </c>
      <c r="F5" s="3714"/>
      <c r="G5" s="3715" t="s">
        <v>1657</v>
      </c>
      <c r="H5" s="3716"/>
      <c r="I5" s="3715" t="s">
        <v>1658</v>
      </c>
      <c r="J5" s="3716"/>
      <c r="K5" s="559"/>
      <c r="L5" s="2689"/>
      <c r="M5" s="2690"/>
      <c r="N5" s="2690"/>
      <c r="O5" s="2690"/>
      <c r="P5" s="3728"/>
      <c r="Q5" s="3729"/>
      <c r="R5" s="3711"/>
      <c r="S5" s="3712"/>
      <c r="T5" s="3711"/>
      <c r="U5" s="3712"/>
      <c r="V5" s="3734"/>
      <c r="W5" s="3734"/>
      <c r="X5" s="1354"/>
      <c r="Y5" s="3711"/>
      <c r="Z5" s="3712"/>
      <c r="AA5" s="3705"/>
      <c r="AB5" s="3705"/>
      <c r="AC5" s="3705"/>
    </row>
    <row r="6" spans="1:30" ht="15.75" thickBot="1">
      <c r="A6" s="360"/>
      <c r="B6" s="361"/>
      <c r="C6" s="3717" t="s">
        <v>1659</v>
      </c>
      <c r="D6" s="3718"/>
      <c r="E6" s="3719" t="s">
        <v>1659</v>
      </c>
      <c r="F6" s="3720"/>
      <c r="G6" s="3717" t="s">
        <v>1659</v>
      </c>
      <c r="H6" s="3718"/>
      <c r="I6" s="3717" t="s">
        <v>1659</v>
      </c>
      <c r="J6" s="3718"/>
      <c r="K6" s="559" t="s">
        <v>1660</v>
      </c>
      <c r="L6" s="2689"/>
      <c r="M6" s="2690"/>
      <c r="N6" s="2690"/>
      <c r="O6" s="2690"/>
      <c r="P6" s="3730"/>
      <c r="Q6" s="3731"/>
      <c r="R6" s="3711"/>
      <c r="S6" s="3712"/>
      <c r="T6" s="3732"/>
      <c r="U6" s="3733"/>
      <c r="V6" s="3734"/>
      <c r="W6" s="3734"/>
      <c r="X6" s="1354"/>
      <c r="Y6" s="3732"/>
      <c r="Z6" s="3733"/>
      <c r="AA6" s="3706"/>
      <c r="AB6" s="3706"/>
      <c r="AC6" s="3706"/>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707" t="s">
        <v>1662</v>
      </c>
      <c r="Q7" s="3735"/>
      <c r="R7" s="701" t="s">
        <v>14</v>
      </c>
      <c r="S7" s="702">
        <f t="shared" ref="S7:S15" si="0">F7</f>
        <v>0</v>
      </c>
      <c r="T7" s="701" t="s">
        <v>14</v>
      </c>
      <c r="U7" s="702">
        <f t="shared" ref="U7:U15" si="1">H7</f>
        <v>0</v>
      </c>
      <c r="V7" s="701" t="s">
        <v>14</v>
      </c>
      <c r="W7" s="702">
        <f t="shared" ref="W7:W15" si="2">J7</f>
        <v>0</v>
      </c>
      <c r="X7" s="703"/>
      <c r="Y7" s="3707" t="s">
        <v>1662</v>
      </c>
      <c r="Z7" s="3708"/>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707" t="s">
        <v>1665</v>
      </c>
      <c r="Q8" s="3708"/>
      <c r="R8" s="701" t="s">
        <v>14</v>
      </c>
      <c r="S8" s="702">
        <f t="shared" si="0"/>
        <v>0</v>
      </c>
      <c r="T8" s="701" t="s">
        <v>14</v>
      </c>
      <c r="U8" s="702">
        <f t="shared" si="1"/>
        <v>0</v>
      </c>
      <c r="V8" s="701" t="s">
        <v>14</v>
      </c>
      <c r="W8" s="702">
        <f t="shared" si="2"/>
        <v>0</v>
      </c>
      <c r="X8" s="703"/>
      <c r="Y8" s="3707" t="s">
        <v>1665</v>
      </c>
      <c r="Z8" s="3708"/>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739" t="s">
        <v>1668</v>
      </c>
      <c r="Q9" s="1342" t="str">
        <f t="shared" ref="Q9:Q15" si="6">B9</f>
        <v>用途</v>
      </c>
      <c r="R9" s="701" t="s">
        <v>14</v>
      </c>
      <c r="S9" s="702">
        <f t="shared" si="0"/>
        <v>100</v>
      </c>
      <c r="T9" s="701" t="s">
        <v>14</v>
      </c>
      <c r="U9" s="702">
        <f t="shared" si="1"/>
        <v>100</v>
      </c>
      <c r="V9" s="701" t="s">
        <v>14</v>
      </c>
      <c r="W9" s="702">
        <f t="shared" si="2"/>
        <v>100</v>
      </c>
      <c r="X9" s="703"/>
      <c r="Y9" s="3651"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739"/>
      <c r="Q10" s="1342" t="str">
        <f t="shared" si="6"/>
        <v>土地使用年限（年）</v>
      </c>
      <c r="R10" s="701" t="s">
        <v>14</v>
      </c>
      <c r="S10" s="702">
        <f t="shared" si="0"/>
        <v>124</v>
      </c>
      <c r="T10" s="701" t="s">
        <v>14</v>
      </c>
      <c r="U10" s="702">
        <f t="shared" si="1"/>
        <v>124</v>
      </c>
      <c r="V10" s="701" t="s">
        <v>14</v>
      </c>
      <c r="W10" s="702">
        <f t="shared" si="2"/>
        <v>124</v>
      </c>
      <c r="X10" s="703"/>
      <c r="Y10" s="3651"/>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739"/>
      <c r="Q11" s="1342" t="str">
        <f t="shared" si="6"/>
        <v>容积率</v>
      </c>
      <c r="R11" s="701" t="s">
        <v>14</v>
      </c>
      <c r="S11" s="702" t="e">
        <f t="shared" si="0"/>
        <v>#N/A</v>
      </c>
      <c r="T11" s="701" t="s">
        <v>14</v>
      </c>
      <c r="U11" s="702" t="e">
        <f t="shared" si="1"/>
        <v>#N/A</v>
      </c>
      <c r="V11" s="701" t="s">
        <v>14</v>
      </c>
      <c r="W11" s="702" t="e">
        <f t="shared" si="2"/>
        <v>#N/A</v>
      </c>
      <c r="X11" s="703"/>
      <c r="Y11" s="3651"/>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739"/>
      <c r="Q12" s="1342" t="str">
        <f t="shared" si="6"/>
        <v>配建</v>
      </c>
      <c r="R12" s="701" t="s">
        <v>14</v>
      </c>
      <c r="S12" s="702">
        <f t="shared" si="0"/>
        <v>100</v>
      </c>
      <c r="T12" s="701" t="s">
        <v>14</v>
      </c>
      <c r="U12" s="702">
        <f t="shared" si="1"/>
        <v>100</v>
      </c>
      <c r="V12" s="701" t="s">
        <v>14</v>
      </c>
      <c r="W12" s="702">
        <f t="shared" si="2"/>
        <v>100</v>
      </c>
      <c r="X12" s="703"/>
      <c r="Y12" s="3651"/>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739"/>
      <c r="Q13" s="1342">
        <f t="shared" si="6"/>
        <v>111</v>
      </c>
      <c r="R13" s="701" t="s">
        <v>14</v>
      </c>
      <c r="S13" s="702">
        <f t="shared" si="0"/>
        <v>100</v>
      </c>
      <c r="T13" s="701" t="s">
        <v>14</v>
      </c>
      <c r="U13" s="702">
        <f t="shared" si="1"/>
        <v>100</v>
      </c>
      <c r="V13" s="701" t="s">
        <v>14</v>
      </c>
      <c r="W13" s="702">
        <f t="shared" si="2"/>
        <v>100</v>
      </c>
      <c r="X13" s="703"/>
      <c r="Y13" s="3651"/>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739"/>
      <c r="Q14" s="1342">
        <f t="shared" si="6"/>
        <v>111</v>
      </c>
      <c r="R14" s="701" t="s">
        <v>14</v>
      </c>
      <c r="S14" s="702">
        <f t="shared" si="0"/>
        <v>100</v>
      </c>
      <c r="T14" s="701" t="s">
        <v>14</v>
      </c>
      <c r="U14" s="702">
        <f t="shared" si="1"/>
        <v>100</v>
      </c>
      <c r="V14" s="701" t="s">
        <v>14</v>
      </c>
      <c r="W14" s="702">
        <f t="shared" si="2"/>
        <v>100</v>
      </c>
      <c r="X14" s="703"/>
      <c r="Y14" s="3651"/>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741" t="s">
        <v>1673</v>
      </c>
      <c r="Q15" s="1351" t="str">
        <f t="shared" si="6"/>
        <v>居住社区成熟度</v>
      </c>
      <c r="R15" s="705" t="s">
        <v>14</v>
      </c>
      <c r="S15" s="706">
        <f t="shared" si="0"/>
        <v>100</v>
      </c>
      <c r="T15" s="705" t="s">
        <v>14</v>
      </c>
      <c r="U15" s="706">
        <f t="shared" si="1"/>
        <v>100</v>
      </c>
      <c r="V15" s="705" t="s">
        <v>14</v>
      </c>
      <c r="W15" s="706">
        <f t="shared" si="2"/>
        <v>100</v>
      </c>
      <c r="X15" s="1354"/>
      <c r="Y15" s="3741"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742"/>
      <c r="Q16" s="1351"/>
      <c r="R16" s="705"/>
      <c r="S16" s="706"/>
      <c r="T16" s="705"/>
      <c r="U16" s="706"/>
      <c r="V16" s="705"/>
      <c r="W16" s="706"/>
      <c r="X16" s="1354"/>
      <c r="Y16" s="3742"/>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742"/>
      <c r="Q17" s="1351" t="str">
        <f>B17</f>
        <v>商业繁华度</v>
      </c>
      <c r="R17" s="705" t="s">
        <v>14</v>
      </c>
      <c r="S17" s="706">
        <f>F17</f>
        <v>100</v>
      </c>
      <c r="T17" s="705" t="s">
        <v>14</v>
      </c>
      <c r="U17" s="706">
        <f>H17</f>
        <v>100</v>
      </c>
      <c r="V17" s="705" t="s">
        <v>14</v>
      </c>
      <c r="W17" s="706">
        <f>J17</f>
        <v>100</v>
      </c>
      <c r="X17" s="1354"/>
      <c r="Y17" s="3742"/>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742"/>
      <c r="Q18" s="1351"/>
      <c r="R18" s="705"/>
      <c r="S18" s="706"/>
      <c r="T18" s="705"/>
      <c r="U18" s="706"/>
      <c r="V18" s="705"/>
      <c r="W18" s="706"/>
      <c r="X18" s="1354"/>
      <c r="Y18" s="3742"/>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742"/>
      <c r="Q19" s="1351" t="str">
        <f>B19</f>
        <v>办公集聚程度</v>
      </c>
      <c r="R19" s="705" t="s">
        <v>14</v>
      </c>
      <c r="S19" s="706">
        <f>F19</f>
        <v>100</v>
      </c>
      <c r="T19" s="705" t="s">
        <v>14</v>
      </c>
      <c r="U19" s="706">
        <f>H19</f>
        <v>100</v>
      </c>
      <c r="V19" s="705" t="s">
        <v>14</v>
      </c>
      <c r="W19" s="706">
        <f>J19</f>
        <v>100</v>
      </c>
      <c r="X19" s="1354"/>
      <c r="Y19" s="3742"/>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742"/>
      <c r="Q20" s="1351"/>
      <c r="R20" s="705"/>
      <c r="S20" s="706"/>
      <c r="T20" s="705"/>
      <c r="U20" s="706"/>
      <c r="V20" s="705"/>
      <c r="W20" s="706"/>
      <c r="X20" s="1354"/>
      <c r="Y20" s="3742"/>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742"/>
      <c r="Q21" s="1351" t="str">
        <f>B21</f>
        <v>交通便捷度</v>
      </c>
      <c r="R21" s="705" t="s">
        <v>14</v>
      </c>
      <c r="S21" s="706">
        <f>F21</f>
        <v>100</v>
      </c>
      <c r="T21" s="705" t="s">
        <v>14</v>
      </c>
      <c r="U21" s="706">
        <f>H21</f>
        <v>100</v>
      </c>
      <c r="V21" s="705" t="s">
        <v>14</v>
      </c>
      <c r="W21" s="706">
        <f>J21</f>
        <v>100</v>
      </c>
      <c r="X21" s="1354"/>
      <c r="Y21" s="3742"/>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742"/>
      <c r="Q22" s="1351"/>
      <c r="R22" s="705"/>
      <c r="S22" s="706"/>
      <c r="T22" s="705"/>
      <c r="U22" s="706"/>
      <c r="V22" s="705"/>
      <c r="W22" s="706"/>
      <c r="X22" s="1354"/>
      <c r="Y22" s="3742"/>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742"/>
      <c r="Q23" s="1351" t="str">
        <f t="shared" ref="Q23:Q37" si="8">B23</f>
        <v>区域土地利用方向</v>
      </c>
      <c r="R23" s="705" t="s">
        <v>14</v>
      </c>
      <c r="S23" s="706">
        <f>F23</f>
        <v>100</v>
      </c>
      <c r="T23" s="705" t="s">
        <v>14</v>
      </c>
      <c r="U23" s="706">
        <f>H23</f>
        <v>100</v>
      </c>
      <c r="V23" s="705" t="s">
        <v>14</v>
      </c>
      <c r="W23" s="706">
        <f>J23</f>
        <v>100</v>
      </c>
      <c r="X23" s="1354"/>
      <c r="Y23" s="3742"/>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742"/>
      <c r="Q24" s="1351"/>
      <c r="R24" s="705"/>
      <c r="S24" s="706"/>
      <c r="T24" s="705"/>
      <c r="U24" s="706"/>
      <c r="V24" s="705"/>
      <c r="W24" s="706"/>
      <c r="X24" s="1354"/>
      <c r="Y24" s="3742"/>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742"/>
      <c r="Q25" s="1351" t="str">
        <f t="shared" si="8"/>
        <v>自然及人文环境状况</v>
      </c>
      <c r="R25" s="705" t="s">
        <v>14</v>
      </c>
      <c r="S25" s="706">
        <f>F25</f>
        <v>100</v>
      </c>
      <c r="T25" s="705" t="s">
        <v>14</v>
      </c>
      <c r="U25" s="706">
        <f>H25</f>
        <v>100</v>
      </c>
      <c r="V25" s="705" t="s">
        <v>14</v>
      </c>
      <c r="W25" s="706">
        <f>J25</f>
        <v>100</v>
      </c>
      <c r="X25" s="1354"/>
      <c r="Y25" s="3742"/>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742"/>
      <c r="Q26" s="1351"/>
      <c r="R26" s="705"/>
      <c r="S26" s="706"/>
      <c r="T26" s="705"/>
      <c r="U26" s="706"/>
      <c r="V26" s="705"/>
      <c r="W26" s="706"/>
      <c r="X26" s="1354"/>
      <c r="Y26" s="3742"/>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742"/>
      <c r="Q27" s="1342" t="str">
        <f t="shared" si="8"/>
        <v>公共配套设施</v>
      </c>
      <c r="R27" s="701" t="s">
        <v>14</v>
      </c>
      <c r="S27" s="702">
        <f>F27</f>
        <v>100</v>
      </c>
      <c r="T27" s="701" t="s">
        <v>14</v>
      </c>
      <c r="U27" s="702">
        <f>H27</f>
        <v>100</v>
      </c>
      <c r="V27" s="701" t="s">
        <v>14</v>
      </c>
      <c r="W27" s="702">
        <f>J27</f>
        <v>100</v>
      </c>
      <c r="X27" s="703"/>
      <c r="Y27" s="3742"/>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742"/>
      <c r="Q28" s="1342"/>
      <c r="R28" s="701"/>
      <c r="S28" s="702"/>
      <c r="T28" s="701"/>
      <c r="U28" s="702"/>
      <c r="V28" s="701"/>
      <c r="W28" s="702"/>
      <c r="X28" s="703"/>
      <c r="Y28" s="3742"/>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742"/>
      <c r="Q29" s="1342" t="str">
        <f t="shared" ref="Q29" si="9">B29</f>
        <v>基础设施水平</v>
      </c>
      <c r="R29" s="701" t="s">
        <v>14</v>
      </c>
      <c r="S29" s="702">
        <f>F29</f>
        <v>100</v>
      </c>
      <c r="T29" s="701" t="s">
        <v>14</v>
      </c>
      <c r="U29" s="702">
        <f>H29</f>
        <v>100</v>
      </c>
      <c r="V29" s="701" t="s">
        <v>14</v>
      </c>
      <c r="W29" s="702">
        <f>J29</f>
        <v>100</v>
      </c>
      <c r="X29" s="703"/>
      <c r="Y29" s="3742"/>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742"/>
      <c r="Q30" s="1342"/>
      <c r="R30" s="701"/>
      <c r="S30" s="702"/>
      <c r="T30" s="701"/>
      <c r="U30" s="702"/>
      <c r="V30" s="701"/>
      <c r="W30" s="702"/>
      <c r="X30" s="703"/>
      <c r="Y30" s="3742"/>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742"/>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742"/>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742"/>
      <c r="Q32" s="1351" t="str">
        <f t="shared" si="8"/>
        <v>毗邻道路的类型与等级</v>
      </c>
      <c r="R32" s="705" t="s">
        <v>14</v>
      </c>
      <c r="S32" s="706">
        <f t="shared" si="10"/>
        <v>100</v>
      </c>
      <c r="T32" s="705" t="s">
        <v>14</v>
      </c>
      <c r="U32" s="706">
        <f t="shared" si="11"/>
        <v>100</v>
      </c>
      <c r="V32" s="705" t="s">
        <v>14</v>
      </c>
      <c r="W32" s="706">
        <f t="shared" si="12"/>
        <v>100</v>
      </c>
      <c r="X32" s="1354"/>
      <c r="Y32" s="3742"/>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742"/>
      <c r="Q33" s="1351"/>
      <c r="R33" s="705"/>
      <c r="S33" s="706"/>
      <c r="T33" s="705"/>
      <c r="U33" s="706"/>
      <c r="V33" s="705"/>
      <c r="W33" s="706"/>
      <c r="X33" s="1354"/>
      <c r="Y33" s="3742"/>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742"/>
      <c r="Q34" s="1351" t="str">
        <f t="shared" si="8"/>
        <v>土地级别</v>
      </c>
      <c r="R34" s="705" t="s">
        <v>14</v>
      </c>
      <c r="S34" s="706">
        <f t="shared" si="10"/>
        <v>100</v>
      </c>
      <c r="T34" s="705" t="s">
        <v>14</v>
      </c>
      <c r="U34" s="706">
        <f t="shared" si="11"/>
        <v>100</v>
      </c>
      <c r="V34" s="705" t="s">
        <v>14</v>
      </c>
      <c r="W34" s="706">
        <f t="shared" si="12"/>
        <v>100</v>
      </c>
      <c r="X34" s="1354"/>
      <c r="Y34" s="3742"/>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742"/>
      <c r="Q35" s="1351">
        <f t="shared" si="8"/>
        <v>111</v>
      </c>
      <c r="R35" s="705" t="s">
        <v>14</v>
      </c>
      <c r="S35" s="706">
        <f t="shared" si="10"/>
        <v>100</v>
      </c>
      <c r="T35" s="705" t="s">
        <v>14</v>
      </c>
      <c r="U35" s="706">
        <f t="shared" si="11"/>
        <v>100</v>
      </c>
      <c r="V35" s="705" t="s">
        <v>14</v>
      </c>
      <c r="W35" s="706">
        <f t="shared" si="12"/>
        <v>100</v>
      </c>
      <c r="X35" s="1354"/>
      <c r="Y35" s="3742"/>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65" t="s">
        <v>1678</v>
      </c>
      <c r="Q36" s="1351">
        <f t="shared" si="8"/>
        <v>111</v>
      </c>
      <c r="R36" s="705" t="s">
        <v>14</v>
      </c>
      <c r="S36" s="706">
        <f t="shared" si="10"/>
        <v>100</v>
      </c>
      <c r="T36" s="705" t="s">
        <v>14</v>
      </c>
      <c r="U36" s="706">
        <f t="shared" si="11"/>
        <v>100</v>
      </c>
      <c r="V36" s="705" t="s">
        <v>14</v>
      </c>
      <c r="W36" s="706">
        <f t="shared" si="12"/>
        <v>100</v>
      </c>
      <c r="X36" s="1354"/>
      <c r="Y36" s="3746"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746"/>
      <c r="Q37" s="1351">
        <f t="shared" si="8"/>
        <v>111</v>
      </c>
      <c r="R37" s="708" t="s">
        <v>14</v>
      </c>
      <c r="S37" s="709">
        <f t="shared" si="10"/>
        <v>100</v>
      </c>
      <c r="T37" s="708" t="s">
        <v>14</v>
      </c>
      <c r="U37" s="709">
        <f t="shared" si="11"/>
        <v>100</v>
      </c>
      <c r="V37" s="708" t="s">
        <v>14</v>
      </c>
      <c r="W37" s="709">
        <f t="shared" si="12"/>
        <v>100</v>
      </c>
      <c r="X37" s="710"/>
      <c r="Y37" s="3746"/>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746"/>
      <c r="Q38" s="1351" t="str">
        <f>B38</f>
        <v>宗地面积</v>
      </c>
      <c r="R38" s="705" t="s">
        <v>14</v>
      </c>
      <c r="S38" s="706" t="e">
        <f t="shared" si="10"/>
        <v>#N/A</v>
      </c>
      <c r="T38" s="705" t="s">
        <v>14</v>
      </c>
      <c r="U38" s="706" t="e">
        <f t="shared" si="11"/>
        <v>#N/A</v>
      </c>
      <c r="V38" s="705" t="s">
        <v>14</v>
      </c>
      <c r="W38" s="706" t="e">
        <f t="shared" si="12"/>
        <v>#N/A</v>
      </c>
      <c r="X38" s="1354"/>
      <c r="Y38" s="3746"/>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746"/>
      <c r="Q39" s="1351" t="str">
        <f t="shared" ref="Q39:Q45" si="14">B39</f>
        <v>宗地形状</v>
      </c>
      <c r="R39" s="705" t="s">
        <v>14</v>
      </c>
      <c r="S39" s="706">
        <f t="shared" si="10"/>
        <v>100</v>
      </c>
      <c r="T39" s="705" t="s">
        <v>14</v>
      </c>
      <c r="U39" s="706">
        <f t="shared" si="11"/>
        <v>100</v>
      </c>
      <c r="V39" s="705" t="s">
        <v>14</v>
      </c>
      <c r="W39" s="706">
        <f t="shared" si="12"/>
        <v>100</v>
      </c>
      <c r="X39" s="1354"/>
      <c r="Y39" s="3746"/>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746"/>
      <c r="Q40" s="1351" t="str">
        <f t="shared" si="14"/>
        <v>临街宽度及深度</v>
      </c>
      <c r="R40" s="705" t="s">
        <v>14</v>
      </c>
      <c r="S40" s="706">
        <f t="shared" si="10"/>
        <v>100</v>
      </c>
      <c r="T40" s="705" t="s">
        <v>14</v>
      </c>
      <c r="U40" s="706">
        <f t="shared" si="11"/>
        <v>100</v>
      </c>
      <c r="V40" s="705" t="s">
        <v>14</v>
      </c>
      <c r="W40" s="706">
        <f t="shared" si="12"/>
        <v>100</v>
      </c>
      <c r="X40" s="1354"/>
      <c r="Y40" s="3746"/>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746"/>
      <c r="Q41" s="1351" t="str">
        <f t="shared" si="14"/>
        <v>宗地开发程度</v>
      </c>
      <c r="R41" s="701" t="s">
        <v>14</v>
      </c>
      <c r="S41" s="702">
        <f t="shared" si="10"/>
        <v>100</v>
      </c>
      <c r="T41" s="701" t="s">
        <v>14</v>
      </c>
      <c r="U41" s="702">
        <f t="shared" si="11"/>
        <v>100</v>
      </c>
      <c r="V41" s="701" t="s">
        <v>14</v>
      </c>
      <c r="W41" s="702">
        <f t="shared" si="12"/>
        <v>100</v>
      </c>
      <c r="X41" s="703"/>
      <c r="Y41" s="3746"/>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746" t="s">
        <v>1678</v>
      </c>
      <c r="Q42" s="1351" t="str">
        <f t="shared" si="14"/>
        <v>工程地质条件</v>
      </c>
      <c r="R42" s="705" t="s">
        <v>14</v>
      </c>
      <c r="S42" s="706">
        <f t="shared" si="10"/>
        <v>100</v>
      </c>
      <c r="T42" s="705" t="s">
        <v>14</v>
      </c>
      <c r="U42" s="706">
        <f t="shared" si="11"/>
        <v>100</v>
      </c>
      <c r="V42" s="705" t="s">
        <v>14</v>
      </c>
      <c r="W42" s="706">
        <f t="shared" si="12"/>
        <v>100</v>
      </c>
      <c r="X42" s="1354"/>
      <c r="Y42" s="3746"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746"/>
      <c r="Q43" s="1351">
        <f t="shared" si="14"/>
        <v>111</v>
      </c>
      <c r="R43" s="705" t="s">
        <v>14</v>
      </c>
      <c r="S43" s="706">
        <f t="shared" si="10"/>
        <v>100</v>
      </c>
      <c r="T43" s="705" t="s">
        <v>14</v>
      </c>
      <c r="U43" s="706">
        <f t="shared" si="11"/>
        <v>100</v>
      </c>
      <c r="V43" s="705" t="s">
        <v>14</v>
      </c>
      <c r="W43" s="706">
        <f t="shared" si="12"/>
        <v>100</v>
      </c>
      <c r="X43" s="1354"/>
      <c r="Y43" s="3746"/>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746"/>
      <c r="Q44" s="1351">
        <f t="shared" si="14"/>
        <v>111</v>
      </c>
      <c r="R44" s="705" t="s">
        <v>14</v>
      </c>
      <c r="S44" s="706">
        <f t="shared" si="10"/>
        <v>100</v>
      </c>
      <c r="T44" s="705" t="s">
        <v>14</v>
      </c>
      <c r="U44" s="706">
        <f t="shared" si="11"/>
        <v>100</v>
      </c>
      <c r="V44" s="705" t="s">
        <v>14</v>
      </c>
      <c r="W44" s="706">
        <f t="shared" si="12"/>
        <v>100</v>
      </c>
      <c r="X44" s="1354"/>
      <c r="Y44" s="3746"/>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746"/>
      <c r="Q45" s="1351">
        <f t="shared" si="14"/>
        <v>111</v>
      </c>
      <c r="R45" s="708" t="s">
        <v>14</v>
      </c>
      <c r="S45" s="709">
        <f t="shared" si="10"/>
        <v>100</v>
      </c>
      <c r="T45" s="708" t="s">
        <v>14</v>
      </c>
      <c r="U45" s="709">
        <f t="shared" si="11"/>
        <v>100</v>
      </c>
      <c r="V45" s="708" t="s">
        <v>14</v>
      </c>
      <c r="W45" s="709">
        <f t="shared" si="12"/>
        <v>100</v>
      </c>
      <c r="X45" s="710"/>
      <c r="Y45" s="3746"/>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739" t="str">
        <f>A46</f>
        <v>成交单价</v>
      </c>
      <c r="Q46" s="3739"/>
      <c r="R46" s="3734">
        <f>E46</f>
        <v>0</v>
      </c>
      <c r="S46" s="3734"/>
      <c r="T46" s="3734">
        <f>G46</f>
        <v>0</v>
      </c>
      <c r="U46" s="3734"/>
      <c r="V46" s="3734">
        <f>I46</f>
        <v>0</v>
      </c>
      <c r="W46" s="3734"/>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739" t="str">
        <f>A47</f>
        <v>比较价值（元/平方米）</v>
      </c>
      <c r="Q47" s="3739"/>
      <c r="R47" s="3767" t="e">
        <f>ROUND(PRODUCT(R46,AA7:AA45),0)</f>
        <v>#DIV/0!</v>
      </c>
      <c r="S47" s="3767"/>
      <c r="T47" s="3767" t="e">
        <f>ROUND(PRODUCT(T46,AB7:AB45),0)</f>
        <v>#DIV/0!</v>
      </c>
      <c r="U47" s="3767"/>
      <c r="V47" s="3767" t="e">
        <f>ROUND(PRODUCT(V46,AC7:AC45),0)</f>
        <v>#DIV/0!</v>
      </c>
      <c r="W47" s="3767"/>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736" t="str">
        <f>A48</f>
        <v>估价对象XX用房的比较价值（楼面单价，元/平方米）</v>
      </c>
      <c r="Q48" s="3737"/>
      <c r="R48" s="3768" t="e">
        <f>ROUND(IF(D47="简单平均",AVERAGE(R47:W47),R47*F47+T47*H47+V47*J47),0)</f>
        <v>#DIV/0!</v>
      </c>
      <c r="S48" s="3768"/>
      <c r="T48" s="3768"/>
      <c r="U48" s="3768"/>
      <c r="V48" s="3768"/>
      <c r="W48" s="3768"/>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722" t="s">
        <v>1869</v>
      </c>
      <c r="H55" s="3769"/>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76.040000000000006</v>
      </c>
      <c r="F56" s="886" t="e">
        <f t="shared" ref="F56:F64" si="15">ROUND(B56*E56/10000,0)</f>
        <v>#DIV/0!</v>
      </c>
      <c r="G56" s="3721"/>
      <c r="H56" s="3739"/>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v>
      </c>
      <c r="D57" s="945">
        <v>0.25</v>
      </c>
      <c r="E57" s="642"/>
      <c r="F57" s="886" t="e">
        <f t="shared" si="15"/>
        <v>#DIV/0!</v>
      </c>
      <c r="G57" s="2980" t="s">
        <v>1874</v>
      </c>
      <c r="H57" s="887">
        <f>项目基本情况!B37</f>
        <v>0</v>
      </c>
      <c r="I57" s="891">
        <f>SUMIF(修正!A57:A68,H57,修正!B57:B68)</f>
        <v>0</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v>
      </c>
      <c r="D58" s="945">
        <v>0.25</v>
      </c>
      <c r="E58" s="642"/>
      <c r="F58" s="886" t="e">
        <f t="shared" si="15"/>
        <v>#DIV/0!</v>
      </c>
      <c r="G58" s="2981"/>
      <c r="H58" s="887">
        <f>项目基本情况!B37</f>
        <v>0</v>
      </c>
      <c r="I58" s="891">
        <f>SUMIF(修正!A57:A68,H58,修正!C57:C68)</f>
        <v>0</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v>
      </c>
      <c r="D59" s="945">
        <v>0.25</v>
      </c>
      <c r="E59" s="642"/>
      <c r="F59" s="886" t="e">
        <f t="shared" si="15"/>
        <v>#DIV/0!</v>
      </c>
      <c r="G59" s="2981"/>
      <c r="H59" s="887">
        <f>项目基本情况!B37</f>
        <v>0</v>
      </c>
      <c r="I59" s="891">
        <f>SUMIF(修正!A57:A68,H59,修正!D57:D68)</f>
        <v>0</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76.040000000000006</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6" zoomScale="90" zoomScaleNormal="80" zoomScaleSheetLayoutView="90" workbookViewId="0">
      <selection activeCell="G44" sqref="G44"/>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17559.11</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2143</v>
      </c>
      <c r="C2" s="1998" t="s">
        <v>1916</v>
      </c>
      <c r="D2" s="1999" t="s">
        <v>1917</v>
      </c>
      <c r="E2" s="3396" t="s">
        <v>3427</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5">
        <f>ROUND(SUMPRODUCT((B106:B110=R2)*(C105:N105=G2)*(C106:N110)),4)</f>
        <v>1.5019</v>
      </c>
      <c r="T2" s="3335">
        <f t="shared" ref="T2:T16" si="0">ROUND($C$5*$C$22*$C$23*$C$24*S2*$C$28,0)</f>
        <v>7220</v>
      </c>
      <c r="U2" s="1212"/>
      <c r="V2" s="3335">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1220</v>
      </c>
      <c r="C3" s="1998" t="s">
        <v>1922</v>
      </c>
      <c r="D3" s="1999" t="s">
        <v>1923</v>
      </c>
      <c r="E3" s="3394" t="s">
        <v>2434</v>
      </c>
      <c r="F3" s="2003" t="s">
        <v>3678</v>
      </c>
      <c r="G3" s="752">
        <f>IF(F3="宗地容积率",'数据-汇总表'!I4,IF(F3="估价对象容积率",'数据-汇总表'!I6,'数据-汇总表'!I7))</f>
        <v>1</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5">
        <f>ROUND(SUMPRODUCT((B106:B110=R3)*(C105:N105=G2)*(C106:N110)),4)</f>
        <v>1.1838</v>
      </c>
      <c r="T3" s="3335">
        <f t="shared" si="0"/>
        <v>5691</v>
      </c>
      <c r="U3" s="1212"/>
      <c r="V3" s="3335">
        <f t="shared" ref="V3:V16" si="1">ROUND(T3*U3/10000,0)</f>
        <v>0</v>
      </c>
      <c r="W3" s="1215"/>
      <c r="X3" s="1215"/>
      <c r="Y3" s="1215"/>
      <c r="Z3" s="1215"/>
      <c r="AA3" s="1215"/>
      <c r="AB3" s="1215"/>
      <c r="AC3" s="1216"/>
      <c r="AD3" s="1217"/>
      <c r="AE3" s="1217"/>
      <c r="AF3" s="1217"/>
      <c r="AG3" s="1217"/>
      <c r="AH3" s="1217"/>
      <c r="AI3" s="1217"/>
      <c r="AJ3" s="1218"/>
    </row>
    <row r="4" spans="1:36" ht="15.75">
      <c r="A4" s="3777"/>
      <c r="B4" s="3778"/>
      <c r="C4" s="3778"/>
      <c r="D4" s="3779"/>
      <c r="E4" s="3779"/>
      <c r="F4" s="3779"/>
      <c r="G4" s="3779"/>
      <c r="H4" s="3779"/>
      <c r="I4" s="3779"/>
      <c r="J4" s="3780"/>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5">
        <f>ROUND(SUMPRODUCT((B106:B110=R4)*(C105:N105=G2)*(C106:N110)),4)</f>
        <v>1.0004999999999999</v>
      </c>
      <c r="T4" s="3335">
        <f t="shared" si="0"/>
        <v>4809</v>
      </c>
      <c r="U4" s="1212"/>
      <c r="V4" s="3335">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5">
        <f>ROUND(SUMPRODUCT((B106:B110=R5)*(C105:N105=G2)*(C106:N110)),4)</f>
        <v>0.88239999999999996</v>
      </c>
      <c r="T5" s="3335">
        <f t="shared" si="0"/>
        <v>4242</v>
      </c>
      <c r="U5" s="1212"/>
      <c r="V5" s="3335">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5">
        <f>ROUND(SUMPRODUCT((B106:B110=R6)*(C105:N105=G2)*(C106:N110)),4)</f>
        <v>0.84799999999999998</v>
      </c>
      <c r="T6" s="3335">
        <f t="shared" si="0"/>
        <v>4076</v>
      </c>
      <c r="U6" s="1212"/>
      <c r="V6" s="3335">
        <f t="shared" si="1"/>
        <v>0</v>
      </c>
      <c r="W6" s="1215"/>
      <c r="X6" s="1215"/>
      <c r="Y6" s="1215"/>
      <c r="Z6" s="1215"/>
      <c r="AA6" s="1215"/>
      <c r="AB6" s="1215"/>
      <c r="AC6" s="2010"/>
      <c r="AD6" s="2011"/>
      <c r="AE6" s="2011"/>
      <c r="AF6" s="2011"/>
      <c r="AG6" s="2011"/>
      <c r="AH6" s="2011"/>
      <c r="AI6" s="2011"/>
      <c r="AJ6" s="2012"/>
    </row>
    <row r="7" spans="1:36" ht="24.75" thickBot="1">
      <c r="A7" s="3278"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3"/>
      <c r="T7" s="3335">
        <f t="shared" si="0"/>
        <v>0</v>
      </c>
      <c r="U7" s="1212"/>
      <c r="V7" s="3335">
        <f t="shared" si="1"/>
        <v>0</v>
      </c>
      <c r="W7" s="1357" t="s">
        <v>1936</v>
      </c>
      <c r="X7" s="1213" t="str">
        <f>G2</f>
        <v>六级</v>
      </c>
      <c r="Y7" s="1213" t="s">
        <v>1937</v>
      </c>
      <c r="Z7" s="1214">
        <f>G3</f>
        <v>1</v>
      </c>
      <c r="AA7" s="1215"/>
      <c r="AB7" s="1215"/>
      <c r="AC7" s="1216"/>
      <c r="AD7" s="1217"/>
      <c r="AE7" s="1217"/>
      <c r="AF7" s="1217"/>
      <c r="AG7" s="1217"/>
      <c r="AH7" s="1217"/>
      <c r="AI7" s="1217"/>
      <c r="AJ7" s="1218"/>
    </row>
    <row r="8" spans="1:36" ht="25.5">
      <c r="A8" s="3273"/>
      <c r="B8" s="170" t="s">
        <v>1938</v>
      </c>
      <c r="C8" s="2025" t="s">
        <v>3618</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5">
        <f t="shared" si="0"/>
        <v>0</v>
      </c>
      <c r="U8" s="1212"/>
      <c r="V8" s="3335">
        <f t="shared" si="1"/>
        <v>0</v>
      </c>
      <c r="W8" s="3774" t="s">
        <v>1941</v>
      </c>
      <c r="X8" s="3775"/>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3"/>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5">
        <f t="shared" si="0"/>
        <v>0</v>
      </c>
      <c r="U9" s="1212"/>
      <c r="V9" s="3335">
        <f t="shared" si="1"/>
        <v>0</v>
      </c>
      <c r="W9" s="3776"/>
      <c r="X9" s="3336" t="s">
        <v>3243</v>
      </c>
      <c r="Y9" s="3337">
        <v>6</v>
      </c>
      <c r="Z9" s="3338">
        <f>$Y$9</f>
        <v>6</v>
      </c>
      <c r="AA9" s="3338">
        <f t="shared" ref="AA9:AJ9" si="2">$Y$9</f>
        <v>6</v>
      </c>
      <c r="AB9" s="3338">
        <f t="shared" si="2"/>
        <v>6</v>
      </c>
      <c r="AC9" s="3338">
        <f t="shared" si="2"/>
        <v>6</v>
      </c>
      <c r="AD9" s="3338">
        <f t="shared" si="2"/>
        <v>6</v>
      </c>
      <c r="AE9" s="3338">
        <f t="shared" si="2"/>
        <v>6</v>
      </c>
      <c r="AF9" s="3338">
        <f t="shared" si="2"/>
        <v>6</v>
      </c>
      <c r="AG9" s="3338">
        <f t="shared" si="2"/>
        <v>6</v>
      </c>
      <c r="AH9" s="3338">
        <f t="shared" si="2"/>
        <v>6</v>
      </c>
      <c r="AI9" s="3338">
        <f t="shared" si="2"/>
        <v>6</v>
      </c>
      <c r="AJ9" s="3338">
        <f t="shared" si="2"/>
        <v>6</v>
      </c>
    </row>
    <row r="10" spans="1:36" ht="15">
      <c r="A10" s="3273"/>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5">
        <f t="shared" si="0"/>
        <v>0</v>
      </c>
      <c r="U10" s="1212"/>
      <c r="V10" s="3335">
        <f t="shared" si="1"/>
        <v>0</v>
      </c>
      <c r="W10" s="3776"/>
      <c r="X10" s="3336">
        <v>6</v>
      </c>
      <c r="Y10" s="3339">
        <f>ROUND((-0.5556*(Y9^2)-0.2719*Y9+8944)*(10^(-4)),4)</f>
        <v>0.89219999999999999</v>
      </c>
      <c r="Z10" s="3339">
        <f>ROUND((-0.5556*(Z9^2)-0.2719*Z9+8944)*(10^(-4)),4)</f>
        <v>0.89219999999999999</v>
      </c>
      <c r="AA10" s="3339">
        <f>ROUND((-0.7912*(AA9^2)-11.3794*AA9+8482)*(10^(-4)),4)</f>
        <v>0.83850000000000002</v>
      </c>
      <c r="AB10" s="3339">
        <f>ROUND((-0.7912*(AB9^2)-11.3794*AB9+8482)*(10^(-4)),4)</f>
        <v>0.83850000000000002</v>
      </c>
      <c r="AC10" s="3339">
        <f>ROUND((-0.7912*(AC9^2)-11.3794*AC9+8482)*(10^(-4)),4)</f>
        <v>0.83850000000000002</v>
      </c>
      <c r="AD10" s="3339">
        <f>ROUND((-0.7912*(AD9^2)-11.3794*AD9+8482)*(10^(-4)),4)</f>
        <v>0.83850000000000002</v>
      </c>
      <c r="AE10" s="3339">
        <f>ROUND((-0.7912*(AE9^2)-11.3794*AE9+8482)*(10^(-4)),4)</f>
        <v>0.83850000000000002</v>
      </c>
      <c r="AF10" s="3339">
        <f>ROUND((-0.989*(AF9^2)-63.78*AF9+7771)*(10^(-4)),4)</f>
        <v>0.73529999999999995</v>
      </c>
      <c r="AG10" s="3339">
        <f>ROUND((-0.989*(AG9^2)-63.78*AG9+7771)*(10^(-4)),4)</f>
        <v>0.73529999999999995</v>
      </c>
      <c r="AH10" s="3339">
        <f>ROUND((-0.989*(AH9^2)-63.78*AH9+7771)*(10^(-4)),4)</f>
        <v>0.73529999999999995</v>
      </c>
      <c r="AI10" s="3339">
        <f>ROUND((-0.989*(AI9^2)-63.78*AI9+7771)*(10^(-4)),4)</f>
        <v>0.73529999999999995</v>
      </c>
      <c r="AJ10" s="3339">
        <f>ROUND((-0.989*(AJ9^2)-63.78*AJ9+7771)*(10^(-4)),4)</f>
        <v>0.73529999999999995</v>
      </c>
    </row>
    <row r="11" spans="1:36" ht="15.75" thickBot="1">
      <c r="A11" s="3277"/>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5">
        <f t="shared" si="0"/>
        <v>0</v>
      </c>
      <c r="U11" s="1212"/>
      <c r="V11" s="3335">
        <f t="shared" si="1"/>
        <v>0</v>
      </c>
      <c r="W11" s="1215"/>
      <c r="X11" s="1215"/>
      <c r="Y11" s="1215"/>
      <c r="Z11" s="1215"/>
      <c r="AA11" s="1215"/>
      <c r="AB11" s="1215"/>
      <c r="AC11" s="1216"/>
      <c r="AD11" s="2763"/>
      <c r="AE11" s="2763"/>
      <c r="AF11" s="2763"/>
      <c r="AG11" s="2763"/>
      <c r="AH11" s="2763"/>
      <c r="AI11" s="2763"/>
      <c r="AJ11" s="2764"/>
    </row>
    <row r="12" spans="1:36" ht="25.5" thickBot="1">
      <c r="A12" s="3278" t="s">
        <v>3214</v>
      </c>
      <c r="B12" s="3279" t="s">
        <v>3215</v>
      </c>
      <c r="C12" s="3280">
        <v>1</v>
      </c>
      <c r="D12" s="3281" t="s">
        <v>3216</v>
      </c>
      <c r="E12" s="3282" t="s">
        <v>3217</v>
      </c>
      <c r="F12" s="3283"/>
      <c r="G12" s="3284"/>
      <c r="H12" s="3284"/>
      <c r="I12" s="3284"/>
      <c r="J12" s="3285"/>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5">
        <f t="shared" si="0"/>
        <v>0</v>
      </c>
      <c r="U12" s="1212"/>
      <c r="V12" s="3335">
        <f t="shared" si="1"/>
        <v>0</v>
      </c>
      <c r="W12" s="1215"/>
      <c r="X12" s="1215"/>
      <c r="Y12" s="1215"/>
      <c r="Z12" s="1215"/>
      <c r="AA12" s="1215"/>
      <c r="AB12" s="1215"/>
      <c r="AC12" s="1216"/>
      <c r="AD12" s="2763"/>
      <c r="AE12" s="2763"/>
      <c r="AF12" s="2763"/>
      <c r="AG12" s="2763"/>
      <c r="AH12" s="2763"/>
      <c r="AI12" s="2763"/>
      <c r="AJ12" s="2764"/>
    </row>
    <row r="13" spans="1:36" ht="15.75" thickBot="1">
      <c r="A13" s="3278" t="s">
        <v>3218</v>
      </c>
      <c r="B13" s="2033" t="s">
        <v>1963</v>
      </c>
      <c r="C13" s="755">
        <f>ROUND(C16*D16*E16*F16*G16*H16*I16*J16,4)</f>
        <v>0</v>
      </c>
      <c r="D13" s="2034" t="s">
        <v>1964</v>
      </c>
      <c r="E13" s="2035"/>
      <c r="F13" s="2035"/>
      <c r="G13" s="2036"/>
      <c r="H13" s="2036"/>
      <c r="I13" s="2036"/>
      <c r="J13" s="2037"/>
      <c r="K13" s="1119"/>
      <c r="L13" s="3274"/>
      <c r="M13" s="3275"/>
      <c r="N13" s="3276"/>
      <c r="O13" s="1119"/>
      <c r="P13" s="1119"/>
      <c r="Q13" s="1119"/>
      <c r="R13" s="1211">
        <v>12</v>
      </c>
      <c r="S13" s="1212"/>
      <c r="T13" s="3335">
        <f t="shared" si="0"/>
        <v>0</v>
      </c>
      <c r="U13" s="1212"/>
      <c r="V13" s="3335">
        <f t="shared" si="1"/>
        <v>0</v>
      </c>
      <c r="W13" s="1215"/>
      <c r="X13" s="1215"/>
      <c r="Y13" s="1215"/>
      <c r="Z13" s="1215"/>
      <c r="AA13" s="1215"/>
      <c r="AB13" s="1215"/>
      <c r="AC13" s="1216"/>
      <c r="AD13" s="2763"/>
      <c r="AE13" s="2763"/>
      <c r="AF13" s="2763"/>
      <c r="AG13" s="2763"/>
      <c r="AH13" s="2763"/>
      <c r="AI13" s="2763"/>
      <c r="AJ13" s="2764"/>
    </row>
    <row r="14" spans="1:36" ht="15">
      <c r="A14" s="3272"/>
      <c r="B14" s="2039" t="s">
        <v>1966</v>
      </c>
      <c r="C14" s="2040" t="s">
        <v>1967</v>
      </c>
      <c r="D14" s="1349" t="s">
        <v>1968</v>
      </c>
      <c r="E14" s="27" t="s">
        <v>1969</v>
      </c>
      <c r="F14" s="3286" t="s">
        <v>3219</v>
      </c>
      <c r="G14" s="3286" t="s">
        <v>3219</v>
      </c>
      <c r="H14" s="3286" t="s">
        <v>3219</v>
      </c>
      <c r="I14" s="3286" t="s">
        <v>3219</v>
      </c>
      <c r="J14" s="3286" t="s">
        <v>3219</v>
      </c>
      <c r="K14" s="1119"/>
      <c r="L14" s="1119"/>
      <c r="M14" s="1119"/>
      <c r="N14" s="1119"/>
      <c r="O14" s="1119"/>
      <c r="P14" s="1119"/>
      <c r="Q14" s="1119"/>
      <c r="R14" s="1211">
        <v>13</v>
      </c>
      <c r="S14" s="1212"/>
      <c r="T14" s="3335">
        <f t="shared" si="0"/>
        <v>0</v>
      </c>
      <c r="U14" s="1212"/>
      <c r="V14" s="3335">
        <f t="shared" si="1"/>
        <v>0</v>
      </c>
      <c r="W14" s="1215"/>
      <c r="X14" s="1215"/>
      <c r="Y14" s="1215"/>
      <c r="Z14" s="1215"/>
      <c r="AA14" s="1215"/>
      <c r="AB14" s="1215"/>
      <c r="AC14" s="1216"/>
      <c r="AD14" s="2763"/>
      <c r="AE14" s="2763"/>
      <c r="AF14" s="2763"/>
      <c r="AG14" s="2763"/>
      <c r="AH14" s="2763"/>
      <c r="AI14" s="2763"/>
      <c r="AJ14" s="2764"/>
    </row>
    <row r="15" spans="1:36" ht="15">
      <c r="A15" s="3272"/>
      <c r="B15" s="2041"/>
      <c r="C15" s="2042"/>
      <c r="D15" s="2043"/>
      <c r="E15" s="2044"/>
      <c r="F15" s="3287" t="s">
        <v>3220</v>
      </c>
      <c r="G15" s="3288"/>
      <c r="H15" s="3289"/>
      <c r="I15" s="3290"/>
      <c r="J15" s="3291"/>
      <c r="K15" s="1119"/>
      <c r="L15" s="1119"/>
      <c r="M15" s="1119"/>
      <c r="N15" s="1119"/>
      <c r="O15" s="1119"/>
      <c r="P15" s="1119"/>
      <c r="Q15" s="1119"/>
      <c r="R15" s="1211">
        <v>14</v>
      </c>
      <c r="S15" s="1212"/>
      <c r="T15" s="3335">
        <f t="shared" si="0"/>
        <v>0</v>
      </c>
      <c r="U15" s="1212"/>
      <c r="V15" s="3335">
        <f t="shared" si="1"/>
        <v>0</v>
      </c>
      <c r="W15" s="1215"/>
      <c r="X15" s="1215"/>
      <c r="Y15" s="1215"/>
      <c r="Z15" s="1215"/>
      <c r="AA15" s="1215"/>
      <c r="AB15" s="1215"/>
      <c r="AC15" s="1216"/>
      <c r="AD15" s="2763"/>
      <c r="AE15" s="2763"/>
      <c r="AF15" s="2763"/>
      <c r="AG15" s="2763"/>
      <c r="AH15" s="2763"/>
      <c r="AI15" s="2763"/>
      <c r="AJ15" s="2764"/>
    </row>
    <row r="16" spans="1:36" ht="15.75" thickBot="1">
      <c r="A16" s="3272"/>
      <c r="B16" s="3294" t="s">
        <v>1970</v>
      </c>
      <c r="C16" s="3292"/>
      <c r="D16" s="3292"/>
      <c r="E16" s="3292"/>
      <c r="F16" s="3292">
        <v>1</v>
      </c>
      <c r="G16" s="3292">
        <v>1</v>
      </c>
      <c r="H16" s="3292">
        <v>1</v>
      </c>
      <c r="I16" s="3292">
        <v>1</v>
      </c>
      <c r="J16" s="3293">
        <v>1</v>
      </c>
      <c r="K16" s="1119"/>
      <c r="L16" s="1996"/>
      <c r="M16" s="1996"/>
      <c r="N16" s="1996"/>
      <c r="O16" s="1996"/>
      <c r="P16" s="1996"/>
      <c r="Q16" s="1119"/>
      <c r="R16" s="1211">
        <v>15</v>
      </c>
      <c r="S16" s="1212"/>
      <c r="T16" s="3335">
        <f t="shared" si="0"/>
        <v>0</v>
      </c>
      <c r="U16" s="1212"/>
      <c r="V16" s="3335">
        <f t="shared" si="1"/>
        <v>0</v>
      </c>
      <c r="W16" s="1215"/>
      <c r="X16" s="1215"/>
      <c r="Y16" s="1215"/>
      <c r="Z16" s="1215"/>
      <c r="AA16" s="1215"/>
      <c r="AB16" s="1215"/>
      <c r="AC16" s="1216"/>
      <c r="AD16" s="2763"/>
      <c r="AE16" s="2763"/>
      <c r="AF16" s="2763"/>
      <c r="AG16" s="2763"/>
      <c r="AH16" s="2763"/>
      <c r="AI16" s="2763"/>
      <c r="AJ16" s="2764"/>
    </row>
    <row r="17" spans="1:37">
      <c r="A17" s="3304" t="s">
        <v>3221</v>
      </c>
      <c r="B17" s="3295" t="s">
        <v>3222</v>
      </c>
      <c r="C17" s="3305">
        <f>ROUND(IF(OR(E2="工业",E2="公共服务"),1,IF(AND(E18=0,E19=0),1,IF(AND(E18=J24,E19=G19),0.8,IF(E19=0,1+E17*(-0.2),1+E17*G17*(-0.2))))),4)</f>
        <v>1</v>
      </c>
      <c r="D17" s="3296" t="s">
        <v>3223</v>
      </c>
      <c r="E17" s="3305">
        <f>ROUND(G18/I18,2)</f>
        <v>0</v>
      </c>
      <c r="F17" s="3296" t="s">
        <v>3226</v>
      </c>
      <c r="G17" s="3305" t="e">
        <f>ROUND(E19/G19,2)</f>
        <v>#DIV/0!</v>
      </c>
      <c r="H17" s="3305"/>
      <c r="I17" s="3305"/>
      <c r="J17" s="3306"/>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7"/>
      <c r="B18" s="2984"/>
      <c r="C18" s="3302"/>
      <c r="D18" s="3297" t="s">
        <v>3224</v>
      </c>
      <c r="E18" s="3303"/>
      <c r="F18" s="3298" t="s">
        <v>3227</v>
      </c>
      <c r="G18" s="3302">
        <f>ROUND(1-(1/(POWER(1+G24,E18))),4)</f>
        <v>0</v>
      </c>
      <c r="H18" s="3298" t="s">
        <v>3229</v>
      </c>
      <c r="I18" s="3302">
        <f>ROUND(1-(1/(POWER(1+G24,J24))),4)</f>
        <v>0.91279999999999994</v>
      </c>
      <c r="J18" s="3308"/>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9"/>
      <c r="B19" s="3310"/>
      <c r="C19" s="3311"/>
      <c r="D19" s="3311" t="s">
        <v>3225</v>
      </c>
      <c r="E19" s="3312"/>
      <c r="F19" s="3313" t="s">
        <v>3228</v>
      </c>
      <c r="G19" s="3312"/>
      <c r="H19" s="3311"/>
      <c r="I19" s="3311"/>
      <c r="J19" s="3314"/>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81" t="s">
        <v>3230</v>
      </c>
      <c r="B20" s="167" t="s">
        <v>1975</v>
      </c>
      <c r="C20" s="3299">
        <f>ROUND(IF(F21="与级别开发程度一致",0,(G21-E21)/C21),0)</f>
        <v>-25</v>
      </c>
      <c r="D20" s="3315" t="s">
        <v>1979</v>
      </c>
      <c r="E20" s="3316"/>
      <c r="F20" s="3787" t="s">
        <v>1976</v>
      </c>
      <c r="G20" s="3788"/>
      <c r="H20" s="3300" t="s">
        <v>3371</v>
      </c>
      <c r="I20" s="3300" t="s">
        <v>3372</v>
      </c>
      <c r="J20" s="3301"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82"/>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3619</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7" t="s">
        <v>3231</v>
      </c>
      <c r="I23" s="3318" t="str">
        <f>IF(H23="季度增幅（自定义）",SUMIF(N25:N28,E2,O25:O28),"")</f>
        <v/>
      </c>
      <c r="J23" s="3420" t="s">
        <v>3620</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3310</v>
      </c>
      <c r="C25" s="771">
        <f>IF(B25="容积率修正",IF(G3&lt;10,D26,J26),C27)</f>
        <v>1.1565000000000001</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9" t="s">
        <v>3232</v>
      </c>
      <c r="D26" s="1351">
        <f>IF(E26=G26,F26,IF(G3&lt;10,ROUND(F26+(H26-F26)*(G3-E26)/(G26-E26),4),"——"))</f>
        <v>1.1565000000000001</v>
      </c>
      <c r="E26" s="752">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1.1565000000000001</v>
      </c>
      <c r="G26" s="752">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1.1565000000000001</v>
      </c>
      <c r="I26" s="3319" t="s">
        <v>3233</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2143</v>
      </c>
      <c r="D30" s="2082"/>
      <c r="E30" s="2045"/>
      <c r="F30" s="2083"/>
      <c r="G30" s="2045"/>
      <c r="H30" s="2045"/>
      <c r="I30" s="2045"/>
      <c r="J30" s="2084"/>
      <c r="K30" s="1119"/>
      <c r="L30" s="3325" t="s">
        <v>1917</v>
      </c>
      <c r="M30" s="3326" t="s">
        <v>1971</v>
      </c>
      <c r="N30" s="3326" t="s">
        <v>1972</v>
      </c>
      <c r="O30" s="3326" t="s">
        <v>1973</v>
      </c>
      <c r="P30" s="3326" t="s">
        <v>1974</v>
      </c>
      <c r="Q30" s="3329"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526</v>
      </c>
      <c r="D31" s="2086"/>
      <c r="E31" s="2087"/>
      <c r="F31" s="2088"/>
      <c r="G31" s="2087"/>
      <c r="H31" s="2087"/>
      <c r="I31" s="2087"/>
      <c r="J31" s="2089"/>
      <c r="K31" s="1119"/>
      <c r="L31" s="3327" t="s">
        <v>1977</v>
      </c>
      <c r="M31" s="1999">
        <v>0.25</v>
      </c>
      <c r="N31" s="1999">
        <v>0.2</v>
      </c>
      <c r="O31" s="1999">
        <v>0.15</v>
      </c>
      <c r="P31" s="1999">
        <v>0.1</v>
      </c>
      <c r="Q31" s="3322">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8" t="s">
        <v>1980</v>
      </c>
      <c r="M32" s="2544">
        <f>ROUND($E$24*(1+M31),3)</f>
        <v>5.3999999999999999E-2</v>
      </c>
      <c r="N32" s="2544">
        <f>ROUND($E$24*(1+N31),3)</f>
        <v>5.1999999999999998E-2</v>
      </c>
      <c r="O32" s="2544">
        <f>ROUND($E$24*(1+O31),3)</f>
        <v>0.05</v>
      </c>
      <c r="P32" s="2544">
        <f>ROUND($E$24*(1+P31),3)</f>
        <v>4.8000000000000001E-2</v>
      </c>
      <c r="Q32" s="3330">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5559</v>
      </c>
      <c r="D33" s="2097">
        <f>'数据-汇总表'!F19</f>
        <v>76.040000000000006</v>
      </c>
      <c r="E33" s="773">
        <f>ROUND(C33*D33/10000,0)</f>
        <v>42</v>
      </c>
      <c r="F33" s="3320" t="s">
        <v>3235</v>
      </c>
      <c r="G33" s="2098"/>
      <c r="H33" s="2098"/>
      <c r="I33" s="2098"/>
      <c r="J33" s="2099"/>
      <c r="K33" s="1119"/>
      <c r="L33" s="3323" t="s">
        <v>3238</v>
      </c>
      <c r="M33" s="3324">
        <v>5.5E-2</v>
      </c>
      <c r="N33" s="3324">
        <v>5.5E-2</v>
      </c>
      <c r="O33" s="3324">
        <v>0.05</v>
      </c>
      <c r="P33" s="3324">
        <v>0.05</v>
      </c>
      <c r="Q33" s="3324">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1390</v>
      </c>
      <c r="D34" s="2102"/>
      <c r="E34" s="773">
        <f>ROUND(IF(B25="楼层修正",SUM(V2:V16)*M40,C34*D34/10000),0)</f>
        <v>0</v>
      </c>
      <c r="F34" s="2103" t="s">
        <v>2013</v>
      </c>
      <c r="G34" s="2104"/>
      <c r="H34" s="2104"/>
      <c r="I34" s="2104"/>
      <c r="J34" s="2105"/>
      <c r="K34" s="1119"/>
      <c r="L34" s="3323" t="s">
        <v>3239</v>
      </c>
      <c r="M34" s="3324">
        <v>6.5000000000000002E-2</v>
      </c>
      <c r="N34" s="3324">
        <v>6.5000000000000002E-2</v>
      </c>
      <c r="O34" s="3324">
        <v>0.06</v>
      </c>
      <c r="P34" s="3324">
        <v>0.06</v>
      </c>
      <c r="Q34" s="3324">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1"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1" t="s">
        <v>3240</v>
      </c>
      <c r="L36" s="3421">
        <f ca="1">'数据-取费表'!B40</f>
        <v>3.4500000000000003E-2</v>
      </c>
      <c r="M36" s="3332">
        <f ca="1">ROUND($L$36*(1+M31),3)</f>
        <v>4.2999999999999997E-2</v>
      </c>
      <c r="N36" s="3332">
        <f ca="1">ROUND($L$36*(1+N31),3)</f>
        <v>4.1000000000000002E-2</v>
      </c>
      <c r="O36" s="3332">
        <f ca="1">ROUND($L$36*(1+O31),3)</f>
        <v>0.04</v>
      </c>
      <c r="P36" s="3332">
        <f ca="1">ROUND($L$36*(1+P31),3)</f>
        <v>3.7999999999999999E-2</v>
      </c>
      <c r="Q36" s="3332">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85"/>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6"/>
      <c r="K37" s="3333" t="s">
        <v>3241</v>
      </c>
      <c r="L37" s="3331">
        <f ca="1">L36+K38</f>
        <v>3.95E-2</v>
      </c>
      <c r="M37" s="3332">
        <f ca="1">ROUND($L$37*(1+M31),3)</f>
        <v>4.9000000000000002E-2</v>
      </c>
      <c r="N37" s="3332">
        <f t="shared" ref="N37:Q37" ca="1" si="3">ROUND($L$37*(1+N31),3)</f>
        <v>4.7E-2</v>
      </c>
      <c r="O37" s="3332">
        <f t="shared" ca="1" si="3"/>
        <v>4.4999999999999998E-2</v>
      </c>
      <c r="P37" s="3332">
        <f t="shared" ca="1" si="3"/>
        <v>4.2999999999999997E-2</v>
      </c>
      <c r="Q37" s="3332">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86"/>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5"/>
      <c r="K38" s="3331">
        <v>5.0000000000000001E-3</v>
      </c>
      <c r="L38" s="3331"/>
      <c r="M38" s="3331"/>
      <c r="N38" s="3331"/>
      <c r="O38" s="3331"/>
      <c r="P38" s="3331"/>
      <c r="Q38" s="3331"/>
      <c r="R38" s="1119"/>
      <c r="S38" s="1119"/>
      <c r="T38" s="1119"/>
      <c r="U38" s="1119"/>
      <c r="V38" s="1119"/>
      <c r="W38" s="1119"/>
      <c r="X38" s="1119"/>
      <c r="Y38" s="1119"/>
      <c r="Z38" s="1120"/>
      <c r="AA38" s="1120"/>
      <c r="AB38" s="1120"/>
      <c r="AC38" s="1120"/>
      <c r="AD38" s="1120"/>
    </row>
    <row r="39" spans="1:37" ht="13.5" thickBot="1">
      <c r="A39" s="3786"/>
      <c r="B39" s="2040" t="s">
        <v>3234</v>
      </c>
      <c r="C39" s="175">
        <f>ROUND(D5*C22*C23*C24*C28*F39,0)</f>
        <v>1202</v>
      </c>
      <c r="D39" s="2097"/>
      <c r="E39" s="171">
        <f t="shared" si="4"/>
        <v>0</v>
      </c>
      <c r="F39" s="171">
        <f>SUMIF(修正!A57:A68,G2,修正!D57:D68)</f>
        <v>0.25</v>
      </c>
      <c r="G39" s="171">
        <f>ROUND(IF(E2="工业",C39*$M$42,C39*$M$41),0)</f>
        <v>301</v>
      </c>
      <c r="H39" s="171">
        <f t="shared" si="5"/>
        <v>0</v>
      </c>
      <c r="I39" s="171">
        <f t="shared" si="6"/>
        <v>0</v>
      </c>
      <c r="J39" s="2985"/>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f>'数据-汇总表'!G19</f>
        <v>17483.07</v>
      </c>
      <c r="E40" s="171">
        <f t="shared" si="4"/>
        <v>2101</v>
      </c>
      <c r="F40" s="175">
        <f>SUMIF(修正!A57:A68,G2,修正!E57:E68)</f>
        <v>0.25</v>
      </c>
      <c r="G40" s="171">
        <f>ROUND(IF(E2="工业",C40*$M$42,C40*$M$41),0)</f>
        <v>301</v>
      </c>
      <c r="H40" s="171">
        <f t="shared" si="5"/>
        <v>17483.07</v>
      </c>
      <c r="I40" s="171">
        <f t="shared" si="6"/>
        <v>526</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4"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1">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1">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3" t="s">
        <v>3244</v>
      </c>
      <c r="B52" s="2133">
        <f>估价对象房地状况!C19</f>
        <v>0</v>
      </c>
      <c r="C52" s="2043"/>
      <c r="D52" s="1065">
        <f t="shared" si="7"/>
        <v>0</v>
      </c>
      <c r="E52" s="745"/>
      <c r="F52" s="1813"/>
      <c r="G52" s="1063"/>
      <c r="H52" s="1066" t="str">
        <f t="shared" si="8"/>
        <v>——</v>
      </c>
      <c r="I52" s="3341">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1">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1">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1">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1">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1">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2">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1">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1">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3" t="s">
        <v>3244</v>
      </c>
      <c r="B63" s="2133">
        <f>估价对象房地状况!C19</f>
        <v>0</v>
      </c>
      <c r="C63" s="2043"/>
      <c r="D63" s="1065">
        <f t="shared" si="12"/>
        <v>0</v>
      </c>
      <c r="E63" s="745"/>
      <c r="F63" s="1813"/>
      <c r="G63" s="1063"/>
      <c r="H63" s="1066" t="str">
        <f t="shared" si="13"/>
        <v>——</v>
      </c>
      <c r="I63" s="3341">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1">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1">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1">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1">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1">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2">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1">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1">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3" t="s">
        <v>3244</v>
      </c>
      <c r="B74" s="2133">
        <f>估价对象房地状况!C19</f>
        <v>0</v>
      </c>
      <c r="C74" s="2043"/>
      <c r="D74" s="1065">
        <f t="shared" si="17"/>
        <v>0</v>
      </c>
      <c r="E74" s="747"/>
      <c r="F74" s="1813"/>
      <c r="G74" s="1063"/>
      <c r="H74" s="1066" t="str">
        <f t="shared" si="18"/>
        <v>——</v>
      </c>
      <c r="I74" s="3341">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1">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1">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1">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1">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1">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2">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1">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1">
        <v>0.3</v>
      </c>
      <c r="J84" s="1064">
        <f t="shared" si="24"/>
        <v>0</v>
      </c>
      <c r="K84" s="1064">
        <f t="shared" si="25"/>
        <v>0</v>
      </c>
      <c r="L84" s="1064">
        <v>0</v>
      </c>
      <c r="M84" s="1064">
        <f t="shared" si="26"/>
        <v>0</v>
      </c>
      <c r="N84" s="1064">
        <f t="shared" si="26"/>
        <v>0</v>
      </c>
      <c r="Z84" s="1997"/>
      <c r="AA84" s="2052"/>
      <c r="AG84" s="1121"/>
      <c r="AK84" s="2052"/>
    </row>
    <row r="85" spans="1:37" ht="36" hidden="1">
      <c r="A85" s="3343" t="s">
        <v>3245</v>
      </c>
      <c r="B85" s="2133">
        <f>估价对象房地状况!G17</f>
        <v>0</v>
      </c>
      <c r="C85" s="2043"/>
      <c r="D85" s="1065">
        <f t="shared" si="22"/>
        <v>0</v>
      </c>
      <c r="E85" s="747"/>
      <c r="F85" s="1813"/>
      <c r="G85" s="1063"/>
      <c r="H85" s="1066" t="str">
        <f t="shared" si="23"/>
        <v>——</v>
      </c>
      <c r="I85" s="3341">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1">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1">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1">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1">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2">
        <v>0.05</v>
      </c>
      <c r="J90" s="1064">
        <f t="shared" si="24"/>
        <v>0</v>
      </c>
      <c r="K90" s="1064">
        <f t="shared" si="25"/>
        <v>0</v>
      </c>
      <c r="L90" s="1064">
        <v>0</v>
      </c>
      <c r="M90" s="1064">
        <f t="shared" si="26"/>
        <v>0</v>
      </c>
      <c r="N90" s="1064">
        <f t="shared" si="26"/>
        <v>0</v>
      </c>
    </row>
    <row r="91" spans="1:37" ht="15">
      <c r="A91" s="3351" t="s">
        <v>2588</v>
      </c>
      <c r="B91" s="3352">
        <f>1+E93</f>
        <v>1.0641</v>
      </c>
      <c r="C91" s="3345"/>
      <c r="D91" s="3346"/>
      <c r="E91" s="1813"/>
      <c r="F91" s="1813"/>
      <c r="G91" s="3347"/>
      <c r="H91" s="3348"/>
      <c r="I91" s="3349"/>
      <c r="J91" s="3350"/>
      <c r="K91" s="3350"/>
      <c r="L91" s="3350"/>
      <c r="M91" s="3350"/>
      <c r="N91" s="3350"/>
    </row>
    <row r="92" spans="1:37" ht="24.75">
      <c r="A92" s="3353" t="s">
        <v>3246</v>
      </c>
      <c r="B92" s="3340"/>
      <c r="C92" s="3340" t="s">
        <v>3255</v>
      </c>
      <c r="D92" s="3340" t="s">
        <v>3256</v>
      </c>
      <c r="E92" s="3322" t="s">
        <v>3257</v>
      </c>
      <c r="F92" s="3355" t="s">
        <v>3258</v>
      </c>
      <c r="G92" s="3340" t="s">
        <v>3259</v>
      </c>
      <c r="H92" s="3362" t="s">
        <v>3262</v>
      </c>
      <c r="I92" s="3340" t="s">
        <v>3263</v>
      </c>
      <c r="J92" s="3363" t="s">
        <v>3264</v>
      </c>
      <c r="K92" s="3363" t="s">
        <v>3265</v>
      </c>
      <c r="L92" s="3363" t="s">
        <v>3266</v>
      </c>
      <c r="M92" s="3363" t="s">
        <v>3267</v>
      </c>
      <c r="N92" s="3363" t="s">
        <v>3268</v>
      </c>
    </row>
    <row r="93" spans="1:37" ht="24">
      <c r="A93" s="3343" t="s">
        <v>3247</v>
      </c>
      <c r="B93" s="1305"/>
      <c r="C93" s="2043" t="s">
        <v>3601</v>
      </c>
      <c r="D93" s="3340">
        <f>SUMIF($J$92:$N$92,C93,J93:N93)</f>
        <v>1.6199999999999999E-2</v>
      </c>
      <c r="E93" s="3356">
        <f>ROUND(SUM(D93:D101),4)</f>
        <v>6.4100000000000004E-2</v>
      </c>
      <c r="F93" s="1813">
        <f>IF(E2="公共服务",SUMIF(L1:L12,G2,N1:N12),"——")</f>
        <v>0.13</v>
      </c>
      <c r="G93" s="3347">
        <v>1.6199999999999999E-2</v>
      </c>
      <c r="H93" s="3395">
        <f>IFERROR(ROUNDDOWN($F$93*I93/2,4),"——")</f>
        <v>1.6199999999999999E-2</v>
      </c>
      <c r="I93" s="3341">
        <v>0.25</v>
      </c>
      <c r="J93" s="3319">
        <f t="shared" ref="J93:J101" si="27">K93+$G93</f>
        <v>3.2399999999999998E-2</v>
      </c>
      <c r="K93" s="3319">
        <f t="shared" ref="K93:K101" si="28">$L93+$G93</f>
        <v>1.6199999999999999E-2</v>
      </c>
      <c r="L93" s="3319">
        <v>0</v>
      </c>
      <c r="M93" s="3319">
        <f t="shared" ref="M93:N101" si="29">L93-$G93</f>
        <v>-1.6199999999999999E-2</v>
      </c>
      <c r="N93" s="3319">
        <f t="shared" si="29"/>
        <v>-3.2399999999999998E-2</v>
      </c>
    </row>
    <row r="94" spans="1:37" ht="38.25">
      <c r="A94" s="3353" t="s">
        <v>3248</v>
      </c>
      <c r="B94" s="3344" t="str">
        <f>估价对象房地状况!C18</f>
        <v>估价对象周边道路状况、公共交通通达情况、停车便捷程度，综合评价交通便捷度较好</v>
      </c>
      <c r="C94" s="2043" t="s">
        <v>3601</v>
      </c>
      <c r="D94" s="3340">
        <f t="shared" ref="D94:D101" si="30">SUMIF($J$60:$N$60,C94,J94:N94)</f>
        <v>1.6899999999999998E-2</v>
      </c>
      <c r="E94" s="3357"/>
      <c r="F94" s="1813"/>
      <c r="G94" s="3347">
        <v>1.6899999999999998E-2</v>
      </c>
      <c r="H94" s="3395">
        <f>IFERROR(ROUNDDOWN($F$93*I94/2,4),"——")</f>
        <v>1.6899999999999998E-2</v>
      </c>
      <c r="I94" s="3341">
        <v>0.26</v>
      </c>
      <c r="J94" s="3319">
        <f t="shared" si="27"/>
        <v>3.3799999999999997E-2</v>
      </c>
      <c r="K94" s="3319">
        <f t="shared" si="28"/>
        <v>1.6899999999999998E-2</v>
      </c>
      <c r="L94" s="3319">
        <v>0</v>
      </c>
      <c r="M94" s="3319">
        <f t="shared" si="29"/>
        <v>-1.6899999999999998E-2</v>
      </c>
      <c r="N94" s="3319">
        <f t="shared" si="29"/>
        <v>-3.3799999999999997E-2</v>
      </c>
    </row>
    <row r="95" spans="1:37" ht="36">
      <c r="A95" s="3343" t="s">
        <v>3244</v>
      </c>
      <c r="B95" s="3344">
        <f>估价对象房地状况!C19</f>
        <v>0</v>
      </c>
      <c r="C95" s="2043" t="s">
        <v>3601</v>
      </c>
      <c r="D95" s="3340">
        <f t="shared" si="30"/>
        <v>7.1000000000000004E-3</v>
      </c>
      <c r="E95" s="3357"/>
      <c r="F95" s="1813"/>
      <c r="G95" s="3347">
        <v>7.1000000000000004E-3</v>
      </c>
      <c r="H95" s="3395">
        <f t="shared" ref="H95:H101" si="31">IFERROR(ROUNDDOWN($F$93*I95/2,4),"——")</f>
        <v>7.1000000000000004E-3</v>
      </c>
      <c r="I95" s="3341">
        <v>0.11</v>
      </c>
      <c r="J95" s="3319">
        <f t="shared" si="27"/>
        <v>1.4200000000000001E-2</v>
      </c>
      <c r="K95" s="3319">
        <f t="shared" si="28"/>
        <v>7.1000000000000004E-3</v>
      </c>
      <c r="L95" s="3319">
        <v>0</v>
      </c>
      <c r="M95" s="3319">
        <f t="shared" si="29"/>
        <v>-7.1000000000000004E-3</v>
      </c>
      <c r="N95" s="3319">
        <f t="shared" si="29"/>
        <v>-1.4200000000000001E-2</v>
      </c>
    </row>
    <row r="96" spans="1:37" ht="36.75">
      <c r="A96" s="3353" t="s">
        <v>3249</v>
      </c>
      <c r="B96" s="3359" t="s">
        <v>3260</v>
      </c>
      <c r="C96" s="2043" t="s">
        <v>3598</v>
      </c>
      <c r="D96" s="3340">
        <f t="shared" si="30"/>
        <v>0</v>
      </c>
      <c r="E96" s="3357"/>
      <c r="F96" s="1813"/>
      <c r="G96" s="3347">
        <v>3.2000000000000002E-3</v>
      </c>
      <c r="H96" s="3395">
        <f t="shared" si="31"/>
        <v>3.2000000000000002E-3</v>
      </c>
      <c r="I96" s="3341">
        <v>0.05</v>
      </c>
      <c r="J96" s="3319">
        <f t="shared" si="27"/>
        <v>6.4000000000000003E-3</v>
      </c>
      <c r="K96" s="3319">
        <f t="shared" si="28"/>
        <v>3.2000000000000002E-3</v>
      </c>
      <c r="L96" s="3319">
        <v>0</v>
      </c>
      <c r="M96" s="3319">
        <f t="shared" si="29"/>
        <v>-3.2000000000000002E-3</v>
      </c>
      <c r="N96" s="3319">
        <f t="shared" si="29"/>
        <v>-6.4000000000000003E-3</v>
      </c>
    </row>
    <row r="97" spans="1:14" ht="24">
      <c r="A97" s="3353" t="s">
        <v>3250</v>
      </c>
      <c r="B97" s="3344">
        <f>估价对象房地状况!C24</f>
        <v>0</v>
      </c>
      <c r="C97" s="2043" t="s">
        <v>3598</v>
      </c>
      <c r="D97" s="3340">
        <f t="shared" si="30"/>
        <v>0</v>
      </c>
      <c r="E97" s="3357"/>
      <c r="F97" s="1813"/>
      <c r="G97" s="3347">
        <v>3.2000000000000002E-3</v>
      </c>
      <c r="H97" s="3395">
        <f t="shared" si="31"/>
        <v>3.2000000000000002E-3</v>
      </c>
      <c r="I97" s="3341">
        <v>0.05</v>
      </c>
      <c r="J97" s="3319">
        <f t="shared" si="27"/>
        <v>6.4000000000000003E-3</v>
      </c>
      <c r="K97" s="3319">
        <f t="shared" si="28"/>
        <v>3.2000000000000002E-3</v>
      </c>
      <c r="L97" s="3319">
        <v>0</v>
      </c>
      <c r="M97" s="3319">
        <f t="shared" si="29"/>
        <v>-3.2000000000000002E-3</v>
      </c>
      <c r="N97" s="3319">
        <f t="shared" si="29"/>
        <v>-6.4000000000000003E-3</v>
      </c>
    </row>
    <row r="98" spans="1:14" ht="24">
      <c r="A98" s="3353" t="s">
        <v>3251</v>
      </c>
      <c r="B98" s="3360" t="s">
        <v>3261</v>
      </c>
      <c r="C98" s="2043" t="s">
        <v>3601</v>
      </c>
      <c r="D98" s="3340">
        <f t="shared" si="30"/>
        <v>3.8999999999999998E-3</v>
      </c>
      <c r="E98" s="3357"/>
      <c r="F98" s="1813"/>
      <c r="G98" s="3347">
        <v>3.8999999999999998E-3</v>
      </c>
      <c r="H98" s="3395">
        <f t="shared" si="31"/>
        <v>3.8999999999999998E-3</v>
      </c>
      <c r="I98" s="3341">
        <v>0.06</v>
      </c>
      <c r="J98" s="3319">
        <f t="shared" si="27"/>
        <v>7.7999999999999996E-3</v>
      </c>
      <c r="K98" s="3319">
        <f t="shared" si="28"/>
        <v>3.8999999999999998E-3</v>
      </c>
      <c r="L98" s="3319">
        <v>0</v>
      </c>
      <c r="M98" s="3319">
        <f t="shared" si="29"/>
        <v>-3.8999999999999998E-3</v>
      </c>
      <c r="N98" s="3319">
        <f t="shared" si="29"/>
        <v>-7.7999999999999996E-3</v>
      </c>
    </row>
    <row r="99" spans="1:14" ht="25.5">
      <c r="A99" s="3353" t="s">
        <v>3252</v>
      </c>
      <c r="B99" s="3344" t="str">
        <f>估价对象房地状况!C21</f>
        <v>估价对象所在区域公共配套设施齐备情况</v>
      </c>
      <c r="C99" s="2043" t="s">
        <v>3601</v>
      </c>
      <c r="D99" s="3340">
        <f t="shared" si="30"/>
        <v>3.8999999999999998E-3</v>
      </c>
      <c r="E99" s="3357"/>
      <c r="F99" s="1813"/>
      <c r="G99" s="3347">
        <v>3.8999999999999998E-3</v>
      </c>
      <c r="H99" s="3395">
        <f t="shared" si="31"/>
        <v>3.8999999999999998E-3</v>
      </c>
      <c r="I99" s="3341">
        <v>0.06</v>
      </c>
      <c r="J99" s="3319">
        <f t="shared" si="27"/>
        <v>7.7999999999999996E-3</v>
      </c>
      <c r="K99" s="3319">
        <f t="shared" si="28"/>
        <v>3.8999999999999998E-3</v>
      </c>
      <c r="L99" s="3319">
        <v>0</v>
      </c>
      <c r="M99" s="3319">
        <f t="shared" si="29"/>
        <v>-3.8999999999999998E-3</v>
      </c>
      <c r="N99" s="3319">
        <f t="shared" si="29"/>
        <v>-7.7999999999999996E-3</v>
      </c>
    </row>
    <row r="100" spans="1:14" ht="25.5">
      <c r="A100" s="3353" t="s">
        <v>3253</v>
      </c>
      <c r="B100" s="3344" t="str">
        <f>估价对象房地状况!C22</f>
        <v>估价对象所在区域基础设施水平</v>
      </c>
      <c r="C100" s="2043" t="s">
        <v>3621</v>
      </c>
      <c r="D100" s="3340">
        <f t="shared" si="30"/>
        <v>1.1599999999999999E-2</v>
      </c>
      <c r="E100" s="3357"/>
      <c r="F100" s="1813"/>
      <c r="G100" s="3347">
        <v>5.7999999999999996E-3</v>
      </c>
      <c r="H100" s="3395">
        <f t="shared" si="31"/>
        <v>5.7999999999999996E-3</v>
      </c>
      <c r="I100" s="3341">
        <v>0.09</v>
      </c>
      <c r="J100" s="3319">
        <f t="shared" si="27"/>
        <v>1.1599999999999999E-2</v>
      </c>
      <c r="K100" s="3319">
        <f t="shared" si="28"/>
        <v>5.7999999999999996E-3</v>
      </c>
      <c r="L100" s="3319">
        <v>0</v>
      </c>
      <c r="M100" s="3319">
        <f t="shared" si="29"/>
        <v>-5.7999999999999996E-3</v>
      </c>
      <c r="N100" s="3319">
        <f t="shared" si="29"/>
        <v>-1.1599999999999999E-2</v>
      </c>
    </row>
    <row r="101" spans="1:14" ht="26.25" thickBot="1">
      <c r="A101" s="3354" t="s">
        <v>3254</v>
      </c>
      <c r="B101" s="3361" t="str">
        <f>估价对象房地状况!C20</f>
        <v>区域自然环境：；人文环境；综合评价环境状况一般</v>
      </c>
      <c r="C101" s="2043" t="s">
        <v>3601</v>
      </c>
      <c r="D101" s="3340">
        <f t="shared" si="30"/>
        <v>4.4999999999999997E-3</v>
      </c>
      <c r="E101" s="3358"/>
      <c r="F101" s="1813"/>
      <c r="G101" s="3347">
        <v>4.4999999999999997E-3</v>
      </c>
      <c r="H101" s="3395">
        <f t="shared" si="31"/>
        <v>4.4999999999999997E-3</v>
      </c>
      <c r="I101" s="3342">
        <v>7.0000000000000007E-2</v>
      </c>
      <c r="J101" s="3319">
        <f t="shared" si="27"/>
        <v>8.9999999999999993E-3</v>
      </c>
      <c r="K101" s="3319">
        <f t="shared" si="28"/>
        <v>4.4999999999999997E-3</v>
      </c>
      <c r="L101" s="3319">
        <v>0</v>
      </c>
      <c r="M101" s="3319">
        <f t="shared" si="29"/>
        <v>-4.4999999999999997E-3</v>
      </c>
      <c r="N101" s="3319">
        <f t="shared" si="29"/>
        <v>-8.9999999999999993E-3</v>
      </c>
    </row>
    <row r="103" spans="1:14">
      <c r="A103" s="3783" t="s">
        <v>3269</v>
      </c>
      <c r="B103" s="3783"/>
      <c r="C103" s="3783"/>
      <c r="D103" s="3783"/>
      <c r="E103" s="3783"/>
      <c r="F103" s="3783"/>
      <c r="G103" s="3783"/>
      <c r="H103" s="3783"/>
      <c r="I103" s="3783"/>
      <c r="J103" s="3783"/>
      <c r="K103" s="3364"/>
      <c r="L103" s="3364"/>
      <c r="M103" s="3364"/>
      <c r="N103" s="3364"/>
    </row>
    <row r="104" spans="1:14">
      <c r="A104" s="3784" t="s">
        <v>3270</v>
      </c>
      <c r="B104" s="3784" t="s">
        <v>3271</v>
      </c>
      <c r="C104" s="3365" t="s">
        <v>3272</v>
      </c>
      <c r="D104" s="3366"/>
      <c r="E104" s="3366"/>
      <c r="F104" s="3366"/>
      <c r="G104" s="3366"/>
      <c r="H104" s="3366"/>
      <c r="I104" s="3366"/>
      <c r="J104" s="3367"/>
      <c r="K104" s="3368"/>
      <c r="L104" s="3368"/>
      <c r="M104" s="3368"/>
      <c r="N104" s="3368"/>
    </row>
    <row r="105" spans="1:14">
      <c r="A105" s="3784"/>
      <c r="B105" s="3784"/>
      <c r="C105" s="3369" t="s">
        <v>3273</v>
      </c>
      <c r="D105" s="3369" t="s">
        <v>3274</v>
      </c>
      <c r="E105" s="3369" t="s">
        <v>3275</v>
      </c>
      <c r="F105" s="3369" t="s">
        <v>3276</v>
      </c>
      <c r="G105" s="3369" t="s">
        <v>3277</v>
      </c>
      <c r="H105" s="3369" t="s">
        <v>3278</v>
      </c>
      <c r="I105" s="3369" t="s">
        <v>3279</v>
      </c>
      <c r="J105" s="3369" t="s">
        <v>3280</v>
      </c>
      <c r="K105" s="3369" t="s">
        <v>3281</v>
      </c>
      <c r="L105" s="3369" t="s">
        <v>3282</v>
      </c>
      <c r="M105" s="3369" t="s">
        <v>3283</v>
      </c>
      <c r="N105" s="3369" t="s">
        <v>3284</v>
      </c>
    </row>
    <row r="106" spans="1:14">
      <c r="A106" s="3770" t="s">
        <v>3285</v>
      </c>
      <c r="B106" s="3369">
        <v>1</v>
      </c>
      <c r="C106" s="3369">
        <v>1.5206</v>
      </c>
      <c r="D106" s="3369">
        <v>1.5206</v>
      </c>
      <c r="E106" s="3369">
        <v>1.5019</v>
      </c>
      <c r="F106" s="3369">
        <v>1.5019</v>
      </c>
      <c r="G106" s="3369">
        <v>1.5019</v>
      </c>
      <c r="H106" s="3369">
        <v>1.5019</v>
      </c>
      <c r="I106" s="3369">
        <v>1.5019</v>
      </c>
      <c r="J106" s="3369">
        <v>1.5418000000000001</v>
      </c>
      <c r="K106" s="3369">
        <v>1.5418000000000001</v>
      </c>
      <c r="L106" s="3369">
        <v>1.5418000000000001</v>
      </c>
      <c r="M106" s="3369">
        <v>1.5418000000000001</v>
      </c>
      <c r="N106" s="3369">
        <v>1.5418000000000001</v>
      </c>
    </row>
    <row r="107" spans="1:14">
      <c r="A107" s="3771"/>
      <c r="B107" s="3369">
        <v>2</v>
      </c>
      <c r="C107" s="3369">
        <v>1.2072000000000001</v>
      </c>
      <c r="D107" s="3369">
        <v>1.2072000000000001</v>
      </c>
      <c r="E107" s="3369">
        <v>1.1838</v>
      </c>
      <c r="F107" s="3369">
        <v>1.1838</v>
      </c>
      <c r="G107" s="3369">
        <v>1.1838</v>
      </c>
      <c r="H107" s="3369">
        <v>1.1838</v>
      </c>
      <c r="I107" s="3369">
        <v>1.1838</v>
      </c>
      <c r="J107" s="3369">
        <v>1.1883999999999999</v>
      </c>
      <c r="K107" s="3369">
        <v>1.1883999999999999</v>
      </c>
      <c r="L107" s="3369">
        <v>1.1883999999999999</v>
      </c>
      <c r="M107" s="3369">
        <v>1.1883999999999999</v>
      </c>
      <c r="N107" s="3369">
        <v>1.1883999999999999</v>
      </c>
    </row>
    <row r="108" spans="1:14">
      <c r="A108" s="3771"/>
      <c r="B108" s="3369">
        <v>3</v>
      </c>
      <c r="C108" s="3369">
        <v>1.0430999999999999</v>
      </c>
      <c r="D108" s="3369">
        <v>1.0430999999999999</v>
      </c>
      <c r="E108" s="3369">
        <v>1.0004999999999999</v>
      </c>
      <c r="F108" s="3369">
        <v>1.0004999999999999</v>
      </c>
      <c r="G108" s="3369">
        <v>1.0004999999999999</v>
      </c>
      <c r="H108" s="3369">
        <v>1.0004999999999999</v>
      </c>
      <c r="I108" s="3369">
        <v>1.0004999999999999</v>
      </c>
      <c r="J108" s="3369">
        <v>0.96940000000000004</v>
      </c>
      <c r="K108" s="3369">
        <v>0.96940000000000004</v>
      </c>
      <c r="L108" s="3369">
        <v>0.96940000000000004</v>
      </c>
      <c r="M108" s="3369">
        <v>0.96940000000000004</v>
      </c>
      <c r="N108" s="3369">
        <v>0.96940000000000004</v>
      </c>
    </row>
    <row r="109" spans="1:14">
      <c r="A109" s="3771"/>
      <c r="B109" s="3369">
        <v>4</v>
      </c>
      <c r="C109" s="3369">
        <v>0.94389999999999996</v>
      </c>
      <c r="D109" s="3369">
        <v>0.94389999999999996</v>
      </c>
      <c r="E109" s="3369">
        <v>0.88239999999999996</v>
      </c>
      <c r="F109" s="3369">
        <v>0.88239999999999996</v>
      </c>
      <c r="G109" s="3369">
        <v>0.88239999999999996</v>
      </c>
      <c r="H109" s="3369">
        <v>0.88239999999999996</v>
      </c>
      <c r="I109" s="3369">
        <v>0.88239999999999996</v>
      </c>
      <c r="J109" s="3369">
        <v>0.82299999999999995</v>
      </c>
      <c r="K109" s="3369">
        <v>0.82299999999999995</v>
      </c>
      <c r="L109" s="3369">
        <v>0.82299999999999995</v>
      </c>
      <c r="M109" s="3369">
        <v>0.82299999999999995</v>
      </c>
      <c r="N109" s="3369">
        <v>0.82299999999999995</v>
      </c>
    </row>
    <row r="110" spans="1:14">
      <c r="A110" s="3771"/>
      <c r="B110" s="3369">
        <v>5</v>
      </c>
      <c r="C110" s="3369">
        <v>0.89959999999999996</v>
      </c>
      <c r="D110" s="3369">
        <v>0.89959999999999996</v>
      </c>
      <c r="E110" s="3369">
        <v>0.84799999999999998</v>
      </c>
      <c r="F110" s="3369">
        <v>0.84799999999999998</v>
      </c>
      <c r="G110" s="3369">
        <v>0.84799999999999998</v>
      </c>
      <c r="H110" s="3369">
        <v>0.84799999999999998</v>
      </c>
      <c r="I110" s="3369">
        <v>0.84799999999999998</v>
      </c>
      <c r="J110" s="3369">
        <v>0.74980000000000002</v>
      </c>
      <c r="K110" s="3369">
        <v>0.74980000000000002</v>
      </c>
      <c r="L110" s="3369">
        <v>0.74980000000000002</v>
      </c>
      <c r="M110" s="3369">
        <v>0.74980000000000002</v>
      </c>
      <c r="N110" s="3369">
        <v>0.74980000000000002</v>
      </c>
    </row>
    <row r="111" spans="1:14">
      <c r="A111" s="3771"/>
      <c r="B111" s="3369" t="s">
        <v>3243</v>
      </c>
      <c r="C111" s="3370">
        <f>$I$3</f>
        <v>0</v>
      </c>
      <c r="D111" s="3370">
        <f t="shared" ref="D111:M111" si="32">$I$3</f>
        <v>0</v>
      </c>
      <c r="E111" s="3370">
        <f t="shared" si="32"/>
        <v>0</v>
      </c>
      <c r="F111" s="3370">
        <f t="shared" si="32"/>
        <v>0</v>
      </c>
      <c r="G111" s="3370">
        <f t="shared" si="32"/>
        <v>0</v>
      </c>
      <c r="H111" s="3370">
        <f t="shared" si="32"/>
        <v>0</v>
      </c>
      <c r="I111" s="3370">
        <f t="shared" si="32"/>
        <v>0</v>
      </c>
      <c r="J111" s="3370">
        <f t="shared" si="32"/>
        <v>0</v>
      </c>
      <c r="K111" s="3370">
        <f t="shared" si="32"/>
        <v>0</v>
      </c>
      <c r="L111" s="3370">
        <f t="shared" si="32"/>
        <v>0</v>
      </c>
      <c r="M111" s="3370">
        <f t="shared" si="32"/>
        <v>0</v>
      </c>
      <c r="N111" s="3370">
        <f>$I$3</f>
        <v>0</v>
      </c>
    </row>
    <row r="112" spans="1:14">
      <c r="A112" s="3772"/>
      <c r="B112" s="3369">
        <v>6</v>
      </c>
      <c r="C112" s="3362">
        <f>(-0.5556*(C111^2)-0.2719*C111+8944)*(10^(-4))</f>
        <v>0.89440000000000008</v>
      </c>
      <c r="D112" s="3362">
        <f>(-0.5556*(D111^2)-0.2719*D111+8944)*(10^(-4))</f>
        <v>0.89440000000000008</v>
      </c>
      <c r="E112" s="3362">
        <f>(-0.7912*(E111^2)-11.3794*E111+8482)*(10^(-4))</f>
        <v>0.84820000000000007</v>
      </c>
      <c r="F112" s="3362">
        <f t="shared" ref="F112:I112" si="33">(-0.7912*(F111^2)-11.3794*F111+8482)*(10^(-4))</f>
        <v>0.84820000000000007</v>
      </c>
      <c r="G112" s="3362">
        <f t="shared" si="33"/>
        <v>0.84820000000000007</v>
      </c>
      <c r="H112" s="3362">
        <f t="shared" si="33"/>
        <v>0.84820000000000007</v>
      </c>
      <c r="I112" s="3362">
        <f t="shared" si="33"/>
        <v>0.84820000000000007</v>
      </c>
      <c r="J112" s="3362">
        <f>(-0.989*(J111^2)-63.78*J111+7771)*(10^(-4))</f>
        <v>0.77710000000000001</v>
      </c>
      <c r="K112" s="3362">
        <f t="shared" ref="K112:N112" si="34">(-0.989*(K111^2)-63.78*K111+7771)*(10^(-4))</f>
        <v>0.77710000000000001</v>
      </c>
      <c r="L112" s="3362">
        <f t="shared" si="34"/>
        <v>0.77710000000000001</v>
      </c>
      <c r="M112" s="3362">
        <f t="shared" si="34"/>
        <v>0.77710000000000001</v>
      </c>
      <c r="N112" s="3362">
        <f t="shared" si="34"/>
        <v>0.77710000000000001</v>
      </c>
    </row>
    <row r="113" spans="1:14">
      <c r="A113" s="3773" t="s">
        <v>3286</v>
      </c>
      <c r="B113" s="3773"/>
      <c r="C113" s="3773"/>
      <c r="D113" s="3773"/>
      <c r="E113" s="3773"/>
      <c r="F113" s="3773"/>
      <c r="G113" s="3773"/>
      <c r="H113" s="3773"/>
      <c r="I113" s="3773"/>
      <c r="J113" s="3773"/>
      <c r="K113" s="3371"/>
      <c r="L113" s="3371"/>
      <c r="M113" s="3371"/>
      <c r="N113" s="3371"/>
    </row>
    <row r="114" spans="1:14">
      <c r="A114" s="3372"/>
      <c r="B114" s="3372"/>
      <c r="C114" s="3372"/>
      <c r="D114" s="3372"/>
      <c r="E114" s="3372"/>
      <c r="F114" s="3372"/>
      <c r="G114" s="3372"/>
      <c r="H114" s="3372"/>
      <c r="I114" s="3372"/>
      <c r="J114" s="3372"/>
      <c r="K114" s="3331"/>
      <c r="L114" s="3372"/>
      <c r="M114" s="3372"/>
      <c r="N114" s="3372"/>
    </row>
    <row r="115" spans="1:14" ht="13.5" thickBot="1">
      <c r="A115" s="3372"/>
      <c r="B115" s="3372"/>
      <c r="C115" s="3372"/>
      <c r="D115" s="3372"/>
      <c r="E115" s="3372"/>
      <c r="F115" s="3372"/>
      <c r="G115" s="3372"/>
      <c r="H115" s="3372"/>
      <c r="I115" s="3372"/>
      <c r="J115" s="3372"/>
      <c r="K115" s="3331"/>
      <c r="L115" s="3372"/>
      <c r="M115" s="3372"/>
      <c r="N115" s="3372"/>
    </row>
    <row r="116" spans="1:14" ht="25.5" thickBot="1">
      <c r="A116" s="3373" t="s">
        <v>3287</v>
      </c>
      <c r="B116" s="3390">
        <f>G3</f>
        <v>1</v>
      </c>
      <c r="C116" s="3374" t="s">
        <v>3288</v>
      </c>
      <c r="D116" s="3375">
        <f>SUMPRODUCT((A118:A122=F116)*(B117:M117=H116)*B118:M122)</f>
        <v>0.88200000000000001</v>
      </c>
      <c r="E116" s="1999" t="s">
        <v>3289</v>
      </c>
      <c r="F116" s="3376" t="str">
        <f>E2</f>
        <v>公共服务</v>
      </c>
      <c r="G116" s="1999" t="s">
        <v>3290</v>
      </c>
      <c r="H116" s="3376" t="str">
        <f>G2</f>
        <v>六级</v>
      </c>
      <c r="I116" s="1999"/>
      <c r="J116" s="3377"/>
      <c r="K116" s="3377"/>
      <c r="L116" s="3377"/>
      <c r="M116" s="3377"/>
      <c r="N116" s="3372"/>
    </row>
    <row r="117" spans="1:14">
      <c r="A117" s="3378"/>
      <c r="B117" s="3379" t="s">
        <v>3291</v>
      </c>
      <c r="C117" s="3379" t="s">
        <v>3292</v>
      </c>
      <c r="D117" s="3379" t="s">
        <v>3293</v>
      </c>
      <c r="E117" s="3380" t="s">
        <v>3294</v>
      </c>
      <c r="F117" s="3380" t="s">
        <v>3295</v>
      </c>
      <c r="G117" s="3380" t="s">
        <v>3296</v>
      </c>
      <c r="H117" s="3381" t="s">
        <v>3297</v>
      </c>
      <c r="I117" s="3381" t="s">
        <v>3298</v>
      </c>
      <c r="J117" s="3382" t="s">
        <v>3299</v>
      </c>
      <c r="K117" s="3382" t="s">
        <v>3300</v>
      </c>
      <c r="L117" s="3382" t="s">
        <v>3301</v>
      </c>
      <c r="M117" s="3383" t="s">
        <v>3302</v>
      </c>
      <c r="N117" s="3372"/>
    </row>
    <row r="118" spans="1:14">
      <c r="A118" s="3384" t="s">
        <v>3303</v>
      </c>
      <c r="B118" s="3362">
        <f>ROUND(0.9968-0.011*B116,4)</f>
        <v>0.98580000000000001</v>
      </c>
      <c r="C118" s="3362">
        <f>B118</f>
        <v>0.98580000000000001</v>
      </c>
      <c r="D118" s="3362">
        <f>ROUND(0.949-0.014*B116,4)</f>
        <v>0.93500000000000005</v>
      </c>
      <c r="E118" s="3362">
        <f>D118</f>
        <v>0.93500000000000005</v>
      </c>
      <c r="F118" s="3362">
        <f>E118</f>
        <v>0.93500000000000005</v>
      </c>
      <c r="G118" s="3362">
        <f>F118</f>
        <v>0.93500000000000005</v>
      </c>
      <c r="H118" s="3362">
        <f>G118</f>
        <v>0.93500000000000005</v>
      </c>
      <c r="I118" s="3362">
        <f>ROUND(0.8486-0.018*B116,4)</f>
        <v>0.8306</v>
      </c>
      <c r="J118" s="3362">
        <f t="shared" ref="J118:M122" si="35">I118</f>
        <v>0.8306</v>
      </c>
      <c r="K118" s="3362">
        <f t="shared" si="35"/>
        <v>0.8306</v>
      </c>
      <c r="L118" s="3362">
        <f t="shared" si="35"/>
        <v>0.8306</v>
      </c>
      <c r="M118" s="3385">
        <f t="shared" si="35"/>
        <v>0.8306</v>
      </c>
      <c r="N118" s="3372"/>
    </row>
    <row r="119" spans="1:14">
      <c r="A119" s="3384" t="s">
        <v>3304</v>
      </c>
      <c r="B119" s="3362">
        <f>ROUND(0.993-0.0112*B116,4)</f>
        <v>0.98180000000000001</v>
      </c>
      <c r="C119" s="3362">
        <f>B119</f>
        <v>0.98180000000000001</v>
      </c>
      <c r="D119" s="3362">
        <f>ROUND(0.9415-0.0142*B116,4)</f>
        <v>0.92730000000000001</v>
      </c>
      <c r="E119" s="3362">
        <f t="shared" ref="E119:H120" si="36">D119</f>
        <v>0.92730000000000001</v>
      </c>
      <c r="F119" s="3362">
        <f t="shared" si="36"/>
        <v>0.92730000000000001</v>
      </c>
      <c r="G119" s="3362">
        <f t="shared" si="36"/>
        <v>0.92730000000000001</v>
      </c>
      <c r="H119" s="3362">
        <f t="shared" si="36"/>
        <v>0.92730000000000001</v>
      </c>
      <c r="I119" s="3362">
        <f>ROUND(0.838-0.0182*B116,4)</f>
        <v>0.81979999999999997</v>
      </c>
      <c r="J119" s="3362">
        <f t="shared" si="35"/>
        <v>0.81979999999999997</v>
      </c>
      <c r="K119" s="3362">
        <f t="shared" si="35"/>
        <v>0.81979999999999997</v>
      </c>
      <c r="L119" s="3362">
        <f t="shared" si="35"/>
        <v>0.81979999999999997</v>
      </c>
      <c r="M119" s="3385">
        <f t="shared" si="35"/>
        <v>0.81979999999999997</v>
      </c>
      <c r="N119" s="3372"/>
    </row>
    <row r="120" spans="1:14">
      <c r="A120" s="3384" t="s">
        <v>3305</v>
      </c>
      <c r="B120" s="3362">
        <f>ROUND(0.9448-0.0115*B116,4)</f>
        <v>0.93330000000000002</v>
      </c>
      <c r="C120" s="3362">
        <f>B120</f>
        <v>0.93330000000000002</v>
      </c>
      <c r="D120" s="3362">
        <f>ROUND(0.937-0.0145*B116,4)</f>
        <v>0.92249999999999999</v>
      </c>
      <c r="E120" s="3362">
        <f t="shared" si="36"/>
        <v>0.92249999999999999</v>
      </c>
      <c r="F120" s="3362">
        <f t="shared" si="36"/>
        <v>0.92249999999999999</v>
      </c>
      <c r="G120" s="3362">
        <f t="shared" si="36"/>
        <v>0.92249999999999999</v>
      </c>
      <c r="H120" s="3362">
        <f t="shared" si="36"/>
        <v>0.92249999999999999</v>
      </c>
      <c r="I120" s="3362">
        <f>ROUND(0.7965-0.0185*B116,4)</f>
        <v>0.77800000000000002</v>
      </c>
      <c r="J120" s="3362">
        <f t="shared" si="35"/>
        <v>0.77800000000000002</v>
      </c>
      <c r="K120" s="3362">
        <f t="shared" si="35"/>
        <v>0.77800000000000002</v>
      </c>
      <c r="L120" s="3362">
        <f t="shared" si="35"/>
        <v>0.77800000000000002</v>
      </c>
      <c r="M120" s="3385">
        <f t="shared" si="35"/>
        <v>0.77800000000000002</v>
      </c>
      <c r="N120" s="3372"/>
    </row>
    <row r="121" spans="1:14" ht="13.5" thickBot="1">
      <c r="A121" s="3386" t="s">
        <v>3306</v>
      </c>
      <c r="B121" s="3387">
        <f>ROUND(0.7836-0.012*B116,4)</f>
        <v>0.77159999999999995</v>
      </c>
      <c r="C121" s="3387">
        <f>B121</f>
        <v>0.77159999999999995</v>
      </c>
      <c r="D121" s="3387">
        <f>ROUND(0.753-0.015*B116,4)</f>
        <v>0.73799999999999999</v>
      </c>
      <c r="E121" s="3387">
        <f>D121</f>
        <v>0.73799999999999999</v>
      </c>
      <c r="F121" s="3387">
        <f>E121</f>
        <v>0.73799999999999999</v>
      </c>
      <c r="G121" s="3387">
        <f>ROUND(0.6612-0.018*B116,4)</f>
        <v>0.64319999999999999</v>
      </c>
      <c r="H121" s="3387">
        <f>G121</f>
        <v>0.64319999999999999</v>
      </c>
      <c r="I121" s="3387">
        <f>ROUND(0.5905-0.019*B116,4)</f>
        <v>0.57150000000000001</v>
      </c>
      <c r="J121" s="3387">
        <f t="shared" si="35"/>
        <v>0.57150000000000001</v>
      </c>
      <c r="K121" s="3387">
        <f t="shared" si="35"/>
        <v>0.57150000000000001</v>
      </c>
      <c r="L121" s="3387">
        <f t="shared" si="35"/>
        <v>0.57150000000000001</v>
      </c>
      <c r="M121" s="3388">
        <f t="shared" si="35"/>
        <v>0.57150000000000001</v>
      </c>
      <c r="N121" s="3372"/>
    </row>
    <row r="122" spans="1:14">
      <c r="A122" s="3389" t="s">
        <v>2588</v>
      </c>
      <c r="B122" s="3362">
        <f>ROUND(0.9404-0.0106*B116,4)</f>
        <v>0.92979999999999996</v>
      </c>
      <c r="C122" s="3362">
        <f>B122</f>
        <v>0.92979999999999996</v>
      </c>
      <c r="D122" s="3362">
        <f>ROUND(0.8955-0.0135*B116,4)</f>
        <v>0.88200000000000001</v>
      </c>
      <c r="E122" s="3362">
        <f t="shared" ref="E122:H122" si="37">D122</f>
        <v>0.88200000000000001</v>
      </c>
      <c r="F122" s="3362">
        <f t="shared" si="37"/>
        <v>0.88200000000000001</v>
      </c>
      <c r="G122" s="3362">
        <f t="shared" si="37"/>
        <v>0.88200000000000001</v>
      </c>
      <c r="H122" s="3362">
        <f t="shared" si="37"/>
        <v>0.88200000000000001</v>
      </c>
      <c r="I122" s="3362">
        <f>ROUND(0.7632-0.0166*B116,4)</f>
        <v>0.74660000000000004</v>
      </c>
      <c r="J122" s="3362">
        <f t="shared" si="35"/>
        <v>0.74660000000000004</v>
      </c>
      <c r="K122" s="3362">
        <f t="shared" si="35"/>
        <v>0.74660000000000004</v>
      </c>
      <c r="L122" s="3362">
        <f t="shared" si="35"/>
        <v>0.74660000000000004</v>
      </c>
      <c r="M122" s="3385">
        <f t="shared" si="35"/>
        <v>0.74660000000000004</v>
      </c>
      <c r="N122" s="337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9" priority="6" stopIfTrue="1" operator="notEqual">
      <formula>"——"</formula>
    </cfRule>
  </conditionalFormatting>
  <conditionalFormatting sqref="F61">
    <cfRule type="cellIs" dxfId="28" priority="5" stopIfTrue="1" operator="notEqual">
      <formula>"——"</formula>
    </cfRule>
  </conditionalFormatting>
  <conditionalFormatting sqref="F72">
    <cfRule type="cellIs" dxfId="27" priority="4" stopIfTrue="1" operator="notEqual">
      <formula>"——"</formula>
    </cfRule>
  </conditionalFormatting>
  <conditionalFormatting sqref="F83">
    <cfRule type="cellIs" dxfId="26" priority="3" stopIfTrue="1" operator="notEqual">
      <formula>"——"</formula>
    </cfRule>
  </conditionalFormatting>
  <conditionalFormatting sqref="H50:H58 H61:H69 H72:H80 H83:H91">
    <cfRule type="cellIs" dxfId="25" priority="2" operator="notEqual">
      <formula>"——"</formula>
    </cfRule>
  </conditionalFormatting>
  <conditionalFormatting sqref="H93:H101">
    <cfRule type="cellIs" dxfId="24"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18" zoomScale="80" zoomScaleNormal="60" zoomScaleSheetLayoutView="80" workbookViewId="0">
      <selection activeCell="C7" sqref="C7:K4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83</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47</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09" t="s">
        <v>1753</v>
      </c>
      <c r="S4" s="3710"/>
      <c r="T4" s="3709" t="s">
        <v>1754</v>
      </c>
      <c r="U4" s="3710"/>
      <c r="V4" s="3734" t="s">
        <v>1755</v>
      </c>
      <c r="W4" s="3734"/>
      <c r="X4" s="1354"/>
      <c r="Y4" s="3709" t="s">
        <v>1757</v>
      </c>
      <c r="Z4" s="3710"/>
      <c r="AA4" s="3704" t="s">
        <v>1753</v>
      </c>
      <c r="AB4" s="3705" t="s">
        <v>1754</v>
      </c>
      <c r="AC4" s="3704" t="s">
        <v>1755</v>
      </c>
    </row>
    <row r="5" spans="1:29" ht="60.75" customHeight="1">
      <c r="A5" s="358"/>
      <c r="B5" s="359"/>
      <c r="C5" s="3789" t="str">
        <f>项目基本情况!F10</f>
        <v>昌平区生命园路20号院1号楼-1至4层101</v>
      </c>
      <c r="D5" s="3716"/>
      <c r="E5" s="3713" t="str">
        <f>土地案例!A2</f>
        <v>北京市海淀区中关村翠湖科技园A1地块HD00-0302-0175、6008地块F3其他类多功能用地、B23研发设计用地</v>
      </c>
      <c r="F5" s="3714"/>
      <c r="G5" s="3715" t="str">
        <f>土地案例!A3</f>
        <v>北京市石景山区中关村科技园区石景山园北I区1605-650地块B23研发设计用地</v>
      </c>
      <c r="H5" s="3716"/>
      <c r="I5" s="3715" t="str">
        <f>土地案例!A4</f>
        <v>北京市石景山区中关村科技园石景山园北Ⅱ区西井地块土地一级开发项目1606-605地块B23研发设计用地</v>
      </c>
      <c r="J5" s="3716"/>
      <c r="K5" s="559"/>
      <c r="L5" s="2689"/>
      <c r="M5" s="2690"/>
      <c r="N5" s="2690"/>
      <c r="O5" s="2690"/>
      <c r="P5" s="3728"/>
      <c r="Q5" s="3729"/>
      <c r="R5" s="3711"/>
      <c r="S5" s="3712"/>
      <c r="T5" s="3711"/>
      <c r="U5" s="3712"/>
      <c r="V5" s="3734"/>
      <c r="W5" s="3734"/>
      <c r="X5" s="1354"/>
      <c r="Y5" s="3711"/>
      <c r="Z5" s="3712"/>
      <c r="AA5" s="3705"/>
      <c r="AB5" s="3705"/>
      <c r="AC5" s="3705"/>
    </row>
    <row r="6" spans="1:29" ht="29.25" customHeight="1" thickBot="1">
      <c r="A6" s="360"/>
      <c r="B6" s="361"/>
      <c r="C6" s="3790" t="s">
        <v>1901</v>
      </c>
      <c r="D6" s="3791"/>
      <c r="E6" s="3792" t="s">
        <v>1901</v>
      </c>
      <c r="F6" s="3793"/>
      <c r="G6" s="3790" t="s">
        <v>1901</v>
      </c>
      <c r="H6" s="3791"/>
      <c r="I6" s="3790" t="s">
        <v>1901</v>
      </c>
      <c r="J6" s="3791"/>
      <c r="K6" s="559" t="s">
        <v>1660</v>
      </c>
      <c r="L6" s="2689"/>
      <c r="M6" s="2690"/>
      <c r="N6" s="2690"/>
      <c r="O6" s="2690"/>
      <c r="P6" s="3730"/>
      <c r="Q6" s="3731"/>
      <c r="R6" s="3711"/>
      <c r="S6" s="3712"/>
      <c r="T6" s="3732"/>
      <c r="U6" s="3733"/>
      <c r="V6" s="3734"/>
      <c r="W6" s="3734"/>
      <c r="X6" s="1354"/>
      <c r="Y6" s="3732"/>
      <c r="Z6" s="3733"/>
      <c r="AA6" s="3706"/>
      <c r="AB6" s="3706"/>
      <c r="AC6" s="3706"/>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707" t="s">
        <v>1662</v>
      </c>
      <c r="Q7" s="3735"/>
      <c r="R7" s="701" t="s">
        <v>14</v>
      </c>
      <c r="S7" s="702">
        <f t="shared" ref="S7:S15" si="0">F7</f>
        <v>99.8</v>
      </c>
      <c r="T7" s="701" t="s">
        <v>14</v>
      </c>
      <c r="U7" s="702">
        <f t="shared" ref="U7:U15" si="1">H7</f>
        <v>99.8</v>
      </c>
      <c r="V7" s="701" t="s">
        <v>14</v>
      </c>
      <c r="W7" s="702">
        <f t="shared" ref="W7:W15" si="2">J7</f>
        <v>98.999999999999986</v>
      </c>
      <c r="X7" s="703"/>
      <c r="Y7" s="3707" t="s">
        <v>1662</v>
      </c>
      <c r="Z7" s="3708"/>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707" t="s">
        <v>1665</v>
      </c>
      <c r="Q8" s="3708"/>
      <c r="R8" s="701" t="s">
        <v>14</v>
      </c>
      <c r="S8" s="702">
        <f t="shared" si="0"/>
        <v>100</v>
      </c>
      <c r="T8" s="701" t="s">
        <v>14</v>
      </c>
      <c r="U8" s="702">
        <f t="shared" si="1"/>
        <v>100</v>
      </c>
      <c r="V8" s="701" t="s">
        <v>14</v>
      </c>
      <c r="W8" s="702">
        <f t="shared" si="2"/>
        <v>100</v>
      </c>
      <c r="X8" s="703"/>
      <c r="Y8" s="3707" t="s">
        <v>1665</v>
      </c>
      <c r="Z8" s="3708"/>
      <c r="AA8" s="704">
        <f t="shared" ref="AA8:AA40" si="3">D8/F8</f>
        <v>1</v>
      </c>
      <c r="AB8" s="704">
        <f t="shared" ref="AB8:AB40" si="4">D8/H8</f>
        <v>1</v>
      </c>
      <c r="AC8" s="704">
        <f t="shared" ref="AC8:AC40" si="5">D8/J8</f>
        <v>1</v>
      </c>
    </row>
    <row r="9" spans="1:29" s="108" customFormat="1" ht="42.75">
      <c r="A9" s="369" t="s">
        <v>1666</v>
      </c>
      <c r="B9" s="63" t="s">
        <v>1667</v>
      </c>
      <c r="C9" s="1976" t="s">
        <v>3607</v>
      </c>
      <c r="D9" s="126">
        <v>100</v>
      </c>
      <c r="E9" s="1976" t="s">
        <v>3516</v>
      </c>
      <c r="F9" s="126">
        <f>SUMIF(70:70,E9,71:71)-SUMIF(70:70,C9,71:71)+100</f>
        <v>102</v>
      </c>
      <c r="G9" s="1976" t="s">
        <v>3607</v>
      </c>
      <c r="H9" s="126">
        <f>SUMIF(70:70,G9,71:71)-SUMIF(70:70,C9,71:71)+100</f>
        <v>100</v>
      </c>
      <c r="I9" s="1976" t="s">
        <v>3607</v>
      </c>
      <c r="J9" s="126">
        <f>SUMIF(70:70,I9,71:71)-SUMIF(70:70,C9,71:71)+100</f>
        <v>100</v>
      </c>
      <c r="K9" s="560"/>
      <c r="L9" s="2691"/>
      <c r="M9" s="2692"/>
      <c r="N9" s="2692"/>
      <c r="O9" s="2746"/>
      <c r="P9" s="3739" t="s">
        <v>1668</v>
      </c>
      <c r="Q9" s="1342" t="str">
        <f t="shared" ref="Q9:Q15" si="6">B9</f>
        <v>用途</v>
      </c>
      <c r="R9" s="701" t="s">
        <v>14</v>
      </c>
      <c r="S9" s="702">
        <f t="shared" si="0"/>
        <v>102</v>
      </c>
      <c r="T9" s="701" t="s">
        <v>14</v>
      </c>
      <c r="U9" s="702">
        <f t="shared" si="1"/>
        <v>100</v>
      </c>
      <c r="V9" s="701" t="s">
        <v>14</v>
      </c>
      <c r="W9" s="702">
        <f t="shared" si="2"/>
        <v>100</v>
      </c>
      <c r="X9" s="703"/>
      <c r="Y9" s="3651"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739"/>
      <c r="Q10" s="1342" t="str">
        <f t="shared" si="6"/>
        <v>土地使用年限（年）</v>
      </c>
      <c r="R10" s="701" t="s">
        <v>14</v>
      </c>
      <c r="S10" s="702">
        <f t="shared" si="0"/>
        <v>124</v>
      </c>
      <c r="T10" s="701" t="s">
        <v>14</v>
      </c>
      <c r="U10" s="702">
        <f t="shared" si="1"/>
        <v>124</v>
      </c>
      <c r="V10" s="701" t="s">
        <v>14</v>
      </c>
      <c r="W10" s="702">
        <f t="shared" si="2"/>
        <v>124</v>
      </c>
      <c r="X10" s="703"/>
      <c r="Y10" s="3651"/>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0.78</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739"/>
      <c r="Q11" s="1342" t="str">
        <f t="shared" si="6"/>
        <v>容积率</v>
      </c>
      <c r="R11" s="701" t="s">
        <v>14</v>
      </c>
      <c r="S11" s="702">
        <f t="shared" si="0"/>
        <v>95</v>
      </c>
      <c r="T11" s="701" t="s">
        <v>14</v>
      </c>
      <c r="U11" s="702">
        <f t="shared" si="1"/>
        <v>90</v>
      </c>
      <c r="V11" s="701" t="s">
        <v>14</v>
      </c>
      <c r="W11" s="702">
        <f t="shared" si="2"/>
        <v>85</v>
      </c>
      <c r="X11" s="703"/>
      <c r="Y11" s="3651"/>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739"/>
      <c r="Q12" s="1342">
        <f t="shared" si="6"/>
        <v>111</v>
      </c>
      <c r="R12" s="701" t="s">
        <v>14</v>
      </c>
      <c r="S12" s="702">
        <f t="shared" si="0"/>
        <v>100</v>
      </c>
      <c r="T12" s="701" t="s">
        <v>14</v>
      </c>
      <c r="U12" s="702">
        <f t="shared" si="1"/>
        <v>100</v>
      </c>
      <c r="V12" s="701" t="s">
        <v>14</v>
      </c>
      <c r="W12" s="702">
        <f t="shared" si="2"/>
        <v>100</v>
      </c>
      <c r="X12" s="703"/>
      <c r="Y12" s="3651"/>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739"/>
      <c r="Q13" s="1342">
        <f t="shared" si="6"/>
        <v>111</v>
      </c>
      <c r="R13" s="701" t="s">
        <v>14</v>
      </c>
      <c r="S13" s="702">
        <f t="shared" si="0"/>
        <v>100</v>
      </c>
      <c r="T13" s="701" t="s">
        <v>14</v>
      </c>
      <c r="U13" s="702">
        <f t="shared" si="1"/>
        <v>100</v>
      </c>
      <c r="V13" s="701" t="s">
        <v>14</v>
      </c>
      <c r="W13" s="702">
        <f t="shared" si="2"/>
        <v>100</v>
      </c>
      <c r="X13" s="703"/>
      <c r="Y13" s="3651"/>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739"/>
      <c r="Q14" s="1342">
        <f t="shared" si="6"/>
        <v>111</v>
      </c>
      <c r="R14" s="701" t="s">
        <v>14</v>
      </c>
      <c r="S14" s="702">
        <f t="shared" si="0"/>
        <v>100</v>
      </c>
      <c r="T14" s="701" t="s">
        <v>14</v>
      </c>
      <c r="U14" s="702">
        <f t="shared" si="1"/>
        <v>100</v>
      </c>
      <c r="V14" s="701" t="s">
        <v>14</v>
      </c>
      <c r="W14" s="702">
        <f t="shared" si="2"/>
        <v>100</v>
      </c>
      <c r="X14" s="703"/>
      <c r="Y14" s="3651"/>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3601</v>
      </c>
      <c r="F15" s="392">
        <f>SUMIF(83:83,E16,84:84)-SUMIF(83:83,C16,84:84)+100</f>
        <v>100</v>
      </c>
      <c r="G15" s="393" t="s">
        <v>3601</v>
      </c>
      <c r="H15" s="392">
        <f>SUMIF(83:83,G16,84:84)-SUMIF(83:83,C16,84:84)+100</f>
        <v>100</v>
      </c>
      <c r="I15" s="393" t="s">
        <v>3601</v>
      </c>
      <c r="J15" s="392">
        <f>SUMIF(83:83,I16,84:84)-SUMIF(83:83,C16,84:84)+100</f>
        <v>100</v>
      </c>
      <c r="K15" s="621">
        <v>2</v>
      </c>
      <c r="L15" s="2696"/>
      <c r="M15" s="2690"/>
      <c r="N15" s="2690"/>
      <c r="O15" s="2748"/>
      <c r="P15" s="3741" t="s">
        <v>1673</v>
      </c>
      <c r="Q15" s="1351" t="str">
        <f t="shared" si="6"/>
        <v>产业集聚程度</v>
      </c>
      <c r="R15" s="705" t="s">
        <v>14</v>
      </c>
      <c r="S15" s="706">
        <f t="shared" si="0"/>
        <v>100</v>
      </c>
      <c r="T15" s="705" t="s">
        <v>14</v>
      </c>
      <c r="U15" s="706">
        <f t="shared" si="1"/>
        <v>100</v>
      </c>
      <c r="V15" s="705" t="s">
        <v>14</v>
      </c>
      <c r="W15" s="706">
        <f t="shared" si="2"/>
        <v>100</v>
      </c>
      <c r="X15" s="1354"/>
      <c r="Y15" s="3741" t="s">
        <v>1673</v>
      </c>
      <c r="Z15" s="1355" t="str">
        <f t="shared" si="7"/>
        <v>产业集聚程度</v>
      </c>
      <c r="AA15" s="1352">
        <f t="shared" si="3"/>
        <v>1</v>
      </c>
      <c r="AB15" s="1352">
        <f t="shared" si="4"/>
        <v>1</v>
      </c>
      <c r="AC15" s="1352">
        <f t="shared" si="5"/>
        <v>1</v>
      </c>
    </row>
    <row r="16" spans="1:29" ht="15">
      <c r="A16" s="379"/>
      <c r="B16" s="578"/>
      <c r="C16" s="398" t="s">
        <v>3601</v>
      </c>
      <c r="D16" s="399"/>
      <c r="E16" s="1903" t="s">
        <v>3601</v>
      </c>
      <c r="F16" s="399"/>
      <c r="G16" s="1903" t="s">
        <v>3601</v>
      </c>
      <c r="H16" s="401"/>
      <c r="I16" s="1903" t="s">
        <v>3601</v>
      </c>
      <c r="J16" s="399"/>
      <c r="K16" s="620"/>
      <c r="L16" s="2696"/>
      <c r="M16" s="2690"/>
      <c r="N16" s="2690"/>
      <c r="O16" s="2748"/>
      <c r="P16" s="3742"/>
      <c r="Q16" s="1351"/>
      <c r="R16" s="705"/>
      <c r="S16" s="706"/>
      <c r="T16" s="705"/>
      <c r="U16" s="706"/>
      <c r="V16" s="705"/>
      <c r="W16" s="706"/>
      <c r="X16" s="1354"/>
      <c r="Y16" s="3742"/>
      <c r="Z16" s="1355"/>
      <c r="AA16" s="1352">
        <v>1</v>
      </c>
      <c r="AB16" s="1352">
        <v>1</v>
      </c>
      <c r="AC16" s="1352">
        <v>1</v>
      </c>
    </row>
    <row r="17" spans="1:29" ht="15">
      <c r="A17" s="379"/>
      <c r="B17" s="579" t="s">
        <v>1815</v>
      </c>
      <c r="C17" s="1899" t="str">
        <f>估价对象房地状况!G16</f>
        <v>较好</v>
      </c>
      <c r="D17" s="401">
        <v>100</v>
      </c>
      <c r="E17" s="403" t="s">
        <v>3601</v>
      </c>
      <c r="F17" s="406">
        <f>SUMIF(85:85,E18,86:86)-SUMIF(85:85,C18,86:86)+100</f>
        <v>100</v>
      </c>
      <c r="G17" s="403" t="s">
        <v>3601</v>
      </c>
      <c r="H17" s="406">
        <f>SUMIF(85:85,G18,86:86)-SUMIF(85:85,C18,86:86)+100</f>
        <v>100</v>
      </c>
      <c r="I17" s="403" t="s">
        <v>3601</v>
      </c>
      <c r="J17" s="401">
        <f>SUMIF(85:85,I18,86:86)-SUMIF(85:85,C18,86:86)+100</f>
        <v>100</v>
      </c>
      <c r="K17" s="621">
        <v>2</v>
      </c>
      <c r="L17" s="2696"/>
      <c r="M17" s="2690"/>
      <c r="N17" s="2690"/>
      <c r="O17" s="2748"/>
      <c r="P17" s="3742"/>
      <c r="Q17" s="1351" t="str">
        <f>B17</f>
        <v>交通便捷度</v>
      </c>
      <c r="R17" s="705" t="s">
        <v>14</v>
      </c>
      <c r="S17" s="706">
        <f>F17</f>
        <v>100</v>
      </c>
      <c r="T17" s="705" t="s">
        <v>14</v>
      </c>
      <c r="U17" s="706">
        <f>H17</f>
        <v>100</v>
      </c>
      <c r="V17" s="705" t="s">
        <v>14</v>
      </c>
      <c r="W17" s="706">
        <f>J17</f>
        <v>100</v>
      </c>
      <c r="X17" s="1354"/>
      <c r="Y17" s="3742"/>
      <c r="Z17" s="1355" t="str">
        <f>Q17</f>
        <v>交通便捷度</v>
      </c>
      <c r="AA17" s="1352">
        <f t="shared" si="3"/>
        <v>1</v>
      </c>
      <c r="AB17" s="1352">
        <f t="shared" si="4"/>
        <v>1</v>
      </c>
      <c r="AC17" s="1352">
        <f t="shared" si="5"/>
        <v>1</v>
      </c>
    </row>
    <row r="18" spans="1:29" ht="15">
      <c r="A18" s="379"/>
      <c r="B18" s="580"/>
      <c r="C18" s="398" t="s">
        <v>3601</v>
      </c>
      <c r="D18" s="399"/>
      <c r="E18" s="1897" t="s">
        <v>3601</v>
      </c>
      <c r="F18" s="399"/>
      <c r="G18" s="1897" t="s">
        <v>3601</v>
      </c>
      <c r="H18" s="399"/>
      <c r="I18" s="1897" t="s">
        <v>3601</v>
      </c>
      <c r="J18" s="399"/>
      <c r="K18" s="620"/>
      <c r="L18" s="2696"/>
      <c r="M18" s="2690"/>
      <c r="N18" s="2690"/>
      <c r="O18" s="2748"/>
      <c r="P18" s="3742"/>
      <c r="Q18" s="1351"/>
      <c r="R18" s="705"/>
      <c r="S18" s="706"/>
      <c r="T18" s="705"/>
      <c r="U18" s="706"/>
      <c r="V18" s="705"/>
      <c r="W18" s="706"/>
      <c r="X18" s="1354"/>
      <c r="Y18" s="3742"/>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742"/>
      <c r="Q19" s="1351" t="str">
        <f t="shared" ref="Q19:Q33" si="8">B19</f>
        <v>区域土地利用方向</v>
      </c>
      <c r="R19" s="705" t="s">
        <v>14</v>
      </c>
      <c r="S19" s="706">
        <f>F19</f>
        <v>100</v>
      </c>
      <c r="T19" s="705" t="s">
        <v>14</v>
      </c>
      <c r="U19" s="706">
        <f>H19</f>
        <v>100</v>
      </c>
      <c r="V19" s="705" t="s">
        <v>14</v>
      </c>
      <c r="W19" s="706">
        <f>J19</f>
        <v>100</v>
      </c>
      <c r="X19" s="1354"/>
      <c r="Y19" s="3742"/>
      <c r="Z19" s="1355" t="str">
        <f>Q19</f>
        <v>区域土地利用方向</v>
      </c>
      <c r="AA19" s="1352">
        <f t="shared" si="3"/>
        <v>1</v>
      </c>
      <c r="AB19" s="1352">
        <f t="shared" si="4"/>
        <v>1</v>
      </c>
      <c r="AC19" s="1352">
        <f t="shared" si="5"/>
        <v>1</v>
      </c>
    </row>
    <row r="20" spans="1:29" ht="15">
      <c r="A20" s="358"/>
      <c r="B20" s="580"/>
      <c r="C20" s="398" t="s">
        <v>3601</v>
      </c>
      <c r="D20" s="399"/>
      <c r="E20" s="1897" t="s">
        <v>3601</v>
      </c>
      <c r="F20" s="399"/>
      <c r="G20" s="1897" t="s">
        <v>3601</v>
      </c>
      <c r="H20" s="399"/>
      <c r="I20" s="1897" t="s">
        <v>3601</v>
      </c>
      <c r="J20" s="399"/>
      <c r="K20" s="740"/>
      <c r="L20" s="2696"/>
      <c r="M20" s="2690"/>
      <c r="N20" s="2690"/>
      <c r="O20" s="2748"/>
      <c r="P20" s="3742"/>
      <c r="Q20" s="1351"/>
      <c r="R20" s="705"/>
      <c r="S20" s="706"/>
      <c r="T20" s="705"/>
      <c r="U20" s="706"/>
      <c r="V20" s="705"/>
      <c r="W20" s="706"/>
      <c r="X20" s="1354"/>
      <c r="Y20" s="3742"/>
      <c r="Z20" s="1355"/>
      <c r="AA20" s="1352"/>
      <c r="AB20" s="1352"/>
      <c r="AC20" s="1352"/>
    </row>
    <row r="21" spans="1:29" ht="15">
      <c r="A21" s="358"/>
      <c r="B21" s="579" t="s">
        <v>1903</v>
      </c>
      <c r="C21" s="1899" t="str">
        <f>估价对象房地状况!G18</f>
        <v>较好</v>
      </c>
      <c r="D21" s="401">
        <v>100</v>
      </c>
      <c r="E21" s="403" t="s">
        <v>3601</v>
      </c>
      <c r="F21" s="401">
        <f>SUMIF(89:89,E22,90:90)-SUMIF(89:89,C22,90:90)+100</f>
        <v>100</v>
      </c>
      <c r="G21" s="403" t="s">
        <v>3601</v>
      </c>
      <c r="H21" s="401">
        <f>SUMIF(89:89,G22,90:90)-SUMIF(89:89,C22,90:90)+100</f>
        <v>100</v>
      </c>
      <c r="I21" s="403" t="s">
        <v>3601</v>
      </c>
      <c r="J21" s="401">
        <f>SUMIF(89:89,I22,90:90)-SUMIF(89:89,C22,90:90)+100</f>
        <v>100</v>
      </c>
      <c r="K21" s="621">
        <v>2</v>
      </c>
      <c r="L21" s="2696"/>
      <c r="M21" s="2690"/>
      <c r="N21" s="2690"/>
      <c r="O21" s="2748"/>
      <c r="P21" s="3742"/>
      <c r="Q21" s="1351" t="str">
        <f t="shared" si="8"/>
        <v>环境状况</v>
      </c>
      <c r="R21" s="705" t="s">
        <v>14</v>
      </c>
      <c r="S21" s="706">
        <f>F21</f>
        <v>100</v>
      </c>
      <c r="T21" s="705" t="s">
        <v>14</v>
      </c>
      <c r="U21" s="706">
        <f>H21</f>
        <v>100</v>
      </c>
      <c r="V21" s="705" t="s">
        <v>14</v>
      </c>
      <c r="W21" s="706">
        <f>J21</f>
        <v>100</v>
      </c>
      <c r="X21" s="1354"/>
      <c r="Y21" s="3742"/>
      <c r="Z21" s="1355" t="str">
        <f>Q21</f>
        <v>环境状况</v>
      </c>
      <c r="AA21" s="1352">
        <f t="shared" si="3"/>
        <v>1</v>
      </c>
      <c r="AB21" s="1352">
        <f t="shared" si="4"/>
        <v>1</v>
      </c>
      <c r="AC21" s="1352">
        <f t="shared" si="5"/>
        <v>1</v>
      </c>
    </row>
    <row r="22" spans="1:29" ht="15">
      <c r="A22" s="358"/>
      <c r="B22" s="580"/>
      <c r="C22" s="398" t="s">
        <v>3601</v>
      </c>
      <c r="D22" s="399"/>
      <c r="E22" s="1903" t="s">
        <v>3601</v>
      </c>
      <c r="F22" s="399"/>
      <c r="G22" s="1903" t="s">
        <v>3601</v>
      </c>
      <c r="H22" s="399"/>
      <c r="I22" s="1903" t="s">
        <v>3601</v>
      </c>
      <c r="J22" s="399"/>
      <c r="K22" s="620"/>
      <c r="L22" s="2696"/>
      <c r="M22" s="2690"/>
      <c r="N22" s="2690"/>
      <c r="O22" s="2748"/>
      <c r="P22" s="3742"/>
      <c r="Q22" s="1351"/>
      <c r="R22" s="705"/>
      <c r="S22" s="706"/>
      <c r="T22" s="705"/>
      <c r="U22" s="706"/>
      <c r="V22" s="705"/>
      <c r="W22" s="706"/>
      <c r="X22" s="1354"/>
      <c r="Y22" s="3742"/>
      <c r="Z22" s="1355"/>
      <c r="AA22" s="1352">
        <v>1</v>
      </c>
      <c r="AB22" s="1352">
        <v>1</v>
      </c>
      <c r="AC22" s="1352">
        <v>1</v>
      </c>
    </row>
    <row r="23" spans="1:29" s="108" customFormat="1" ht="15">
      <c r="A23" s="597"/>
      <c r="B23" s="581" t="s">
        <v>1760</v>
      </c>
      <c r="C23" s="1899" t="str">
        <f>估价对象房地状况!G19</f>
        <v>较好</v>
      </c>
      <c r="D23" s="401">
        <v>100</v>
      </c>
      <c r="E23" s="403" t="s">
        <v>3598</v>
      </c>
      <c r="F23" s="401">
        <f>SUMIF(91:91,E24,92:92)-SUMIF(91:91,C24,92:92)+100</f>
        <v>98</v>
      </c>
      <c r="G23" s="403" t="s">
        <v>3601</v>
      </c>
      <c r="H23" s="401">
        <f>SUMIF(91:91,G24,92:92)-SUMIF(91:91,C24,92:92)+100</f>
        <v>100</v>
      </c>
      <c r="I23" s="403" t="s">
        <v>3601</v>
      </c>
      <c r="J23" s="401">
        <f>SUMIF(91:91,I24,92:92)-SUMIF(91:91,C24,92:92)+100</f>
        <v>100</v>
      </c>
      <c r="K23" s="621">
        <v>2</v>
      </c>
      <c r="L23" s="2691"/>
      <c r="M23" s="2692"/>
      <c r="N23" s="2692"/>
      <c r="O23" s="2746"/>
      <c r="P23" s="3742"/>
      <c r="Q23" s="1342" t="str">
        <f t="shared" si="8"/>
        <v>公共配套设施</v>
      </c>
      <c r="R23" s="701" t="s">
        <v>14</v>
      </c>
      <c r="S23" s="702">
        <f>F23</f>
        <v>98</v>
      </c>
      <c r="T23" s="701" t="s">
        <v>14</v>
      </c>
      <c r="U23" s="702">
        <f>H23</f>
        <v>100</v>
      </c>
      <c r="V23" s="701" t="s">
        <v>14</v>
      </c>
      <c r="W23" s="702">
        <f>J23</f>
        <v>100</v>
      </c>
      <c r="X23" s="703"/>
      <c r="Y23" s="3742"/>
      <c r="Z23" s="52" t="str">
        <f>Q23</f>
        <v>公共配套设施</v>
      </c>
      <c r="AA23" s="1352">
        <f>D23/F23</f>
        <v>1.0204081632653061</v>
      </c>
      <c r="AB23" s="1352">
        <f>D23/H23</f>
        <v>1</v>
      </c>
      <c r="AC23" s="1352">
        <f>D23/J23</f>
        <v>1</v>
      </c>
    </row>
    <row r="24" spans="1:29" s="108" customFormat="1" ht="15">
      <c r="A24" s="597"/>
      <c r="B24" s="580"/>
      <c r="C24" s="1977" t="s">
        <v>3601</v>
      </c>
      <c r="D24" s="399"/>
      <c r="E24" s="1903" t="s">
        <v>3598</v>
      </c>
      <c r="F24" s="399"/>
      <c r="G24" s="1903" t="s">
        <v>3601</v>
      </c>
      <c r="H24" s="399"/>
      <c r="I24" s="1903" t="s">
        <v>3601</v>
      </c>
      <c r="J24" s="399"/>
      <c r="K24" s="620"/>
      <c r="L24" s="2691"/>
      <c r="M24" s="2692"/>
      <c r="N24" s="2692"/>
      <c r="O24" s="2746"/>
      <c r="P24" s="3742"/>
      <c r="Q24" s="1342"/>
      <c r="R24" s="701"/>
      <c r="S24" s="702"/>
      <c r="T24" s="701"/>
      <c r="U24" s="702"/>
      <c r="V24" s="701"/>
      <c r="W24" s="702"/>
      <c r="X24" s="703"/>
      <c r="Y24" s="3742"/>
      <c r="Z24" s="52"/>
      <c r="AA24" s="704">
        <v>1</v>
      </c>
      <c r="AB24" s="704">
        <v>1</v>
      </c>
      <c r="AC24" s="704">
        <v>1</v>
      </c>
    </row>
    <row r="25" spans="1:29" s="108" customFormat="1" ht="15">
      <c r="A25" s="597"/>
      <c r="B25" s="581" t="s">
        <v>1761</v>
      </c>
      <c r="C25" s="1899" t="str">
        <f>估价对象房地状况!G20</f>
        <v>七通</v>
      </c>
      <c r="D25" s="401">
        <v>100</v>
      </c>
      <c r="E25" s="403" t="s">
        <v>3605</v>
      </c>
      <c r="F25" s="401">
        <f>SUMIF(93:93,E26,94:94)-SUMIF(93:93,C26,94:94)+100</f>
        <v>100</v>
      </c>
      <c r="G25" s="403" t="s">
        <v>3605</v>
      </c>
      <c r="H25" s="401">
        <f>SUMIF(93:93,G26,94:94)-SUMIF(93:93,C26,94:94)+100</f>
        <v>100</v>
      </c>
      <c r="I25" s="403" t="s">
        <v>3605</v>
      </c>
      <c r="J25" s="401">
        <f>SUMIF(93:93,I26,94:94)-SUMIF(93:93,C26,94:94)+100</f>
        <v>100</v>
      </c>
      <c r="K25" s="621">
        <v>1</v>
      </c>
      <c r="L25" s="2691"/>
      <c r="M25" s="2692"/>
      <c r="N25" s="2692"/>
      <c r="O25" s="2746"/>
      <c r="P25" s="3742"/>
      <c r="Q25" s="1342" t="str">
        <f t="shared" ref="Q25" si="9">B25</f>
        <v>基础设施水平</v>
      </c>
      <c r="R25" s="701" t="s">
        <v>14</v>
      </c>
      <c r="S25" s="702">
        <f>F25</f>
        <v>100</v>
      </c>
      <c r="T25" s="701" t="s">
        <v>14</v>
      </c>
      <c r="U25" s="702">
        <f>H25</f>
        <v>100</v>
      </c>
      <c r="V25" s="701" t="s">
        <v>14</v>
      </c>
      <c r="W25" s="702">
        <f>J25</f>
        <v>100</v>
      </c>
      <c r="X25" s="703"/>
      <c r="Y25" s="3742"/>
      <c r="Z25" s="52" t="str">
        <f>Q25</f>
        <v>基础设施水平</v>
      </c>
      <c r="AA25" s="1352">
        <f>D25/F25</f>
        <v>1</v>
      </c>
      <c r="AB25" s="1352">
        <f>D25/H25</f>
        <v>1</v>
      </c>
      <c r="AC25" s="1352">
        <f>D25/J25</f>
        <v>1</v>
      </c>
    </row>
    <row r="26" spans="1:29" s="108" customFormat="1" ht="15">
      <c r="A26" s="597"/>
      <c r="B26" s="580"/>
      <c r="C26" s="1977" t="s">
        <v>3605</v>
      </c>
      <c r="D26" s="399"/>
      <c r="E26" s="1978" t="s">
        <v>3605</v>
      </c>
      <c r="F26" s="399"/>
      <c r="G26" s="1978" t="s">
        <v>3605</v>
      </c>
      <c r="H26" s="399"/>
      <c r="I26" s="1978" t="s">
        <v>3605</v>
      </c>
      <c r="J26" s="399"/>
      <c r="K26" s="620"/>
      <c r="L26" s="2691"/>
      <c r="M26" s="2692"/>
      <c r="N26" s="2692"/>
      <c r="O26" s="2746"/>
      <c r="P26" s="3742"/>
      <c r="Q26" s="1342"/>
      <c r="R26" s="701"/>
      <c r="S26" s="702"/>
      <c r="T26" s="701"/>
      <c r="U26" s="702"/>
      <c r="V26" s="701"/>
      <c r="W26" s="702"/>
      <c r="X26" s="703"/>
      <c r="Y26" s="3742"/>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742"/>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742"/>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742"/>
      <c r="Q28" s="1351" t="str">
        <f t="shared" si="8"/>
        <v>毗邻道路的类型与等级</v>
      </c>
      <c r="R28" s="705" t="s">
        <v>14</v>
      </c>
      <c r="S28" s="706">
        <f t="shared" si="10"/>
        <v>100</v>
      </c>
      <c r="T28" s="705" t="s">
        <v>14</v>
      </c>
      <c r="U28" s="706">
        <f t="shared" si="11"/>
        <v>100</v>
      </c>
      <c r="V28" s="705" t="s">
        <v>14</v>
      </c>
      <c r="W28" s="706">
        <f t="shared" si="12"/>
        <v>100</v>
      </c>
      <c r="X28" s="1354"/>
      <c r="Y28" s="3742"/>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742"/>
      <c r="Q29" s="1351"/>
      <c r="R29" s="705"/>
      <c r="S29" s="706"/>
      <c r="T29" s="705"/>
      <c r="U29" s="706"/>
      <c r="V29" s="705"/>
      <c r="W29" s="706"/>
      <c r="X29" s="1354"/>
      <c r="Y29" s="3742"/>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742"/>
      <c r="Q30" s="1351" t="str">
        <f t="shared" si="8"/>
        <v>土地级别</v>
      </c>
      <c r="R30" s="705" t="s">
        <v>14</v>
      </c>
      <c r="S30" s="706">
        <f t="shared" si="10"/>
        <v>100</v>
      </c>
      <c r="T30" s="705" t="s">
        <v>14</v>
      </c>
      <c r="U30" s="706">
        <f t="shared" si="11"/>
        <v>100</v>
      </c>
      <c r="V30" s="705" t="s">
        <v>14</v>
      </c>
      <c r="W30" s="706">
        <f t="shared" si="12"/>
        <v>100</v>
      </c>
      <c r="X30" s="1354"/>
      <c r="Y30" s="3742"/>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742"/>
      <c r="Q31" s="1351">
        <f t="shared" si="8"/>
        <v>111</v>
      </c>
      <c r="R31" s="705" t="s">
        <v>14</v>
      </c>
      <c r="S31" s="706">
        <f t="shared" si="10"/>
        <v>100</v>
      </c>
      <c r="T31" s="705" t="s">
        <v>14</v>
      </c>
      <c r="U31" s="706">
        <f t="shared" si="11"/>
        <v>100</v>
      </c>
      <c r="V31" s="705" t="s">
        <v>14</v>
      </c>
      <c r="W31" s="706">
        <f t="shared" si="12"/>
        <v>100</v>
      </c>
      <c r="X31" s="1354"/>
      <c r="Y31" s="3742"/>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65" t="s">
        <v>1678</v>
      </c>
      <c r="Q32" s="1351">
        <f t="shared" si="8"/>
        <v>111</v>
      </c>
      <c r="R32" s="705" t="s">
        <v>14</v>
      </c>
      <c r="S32" s="706">
        <f t="shared" si="10"/>
        <v>100</v>
      </c>
      <c r="T32" s="705" t="s">
        <v>14</v>
      </c>
      <c r="U32" s="706">
        <f t="shared" si="11"/>
        <v>100</v>
      </c>
      <c r="V32" s="705" t="s">
        <v>14</v>
      </c>
      <c r="W32" s="706">
        <f t="shared" si="12"/>
        <v>100</v>
      </c>
      <c r="X32" s="1354"/>
      <c r="Y32" s="3746"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746"/>
      <c r="Q33" s="1351">
        <f t="shared" si="8"/>
        <v>111</v>
      </c>
      <c r="R33" s="708" t="s">
        <v>14</v>
      </c>
      <c r="S33" s="709">
        <f t="shared" si="10"/>
        <v>100</v>
      </c>
      <c r="T33" s="708" t="s">
        <v>14</v>
      </c>
      <c r="U33" s="709">
        <f t="shared" si="11"/>
        <v>100</v>
      </c>
      <c r="V33" s="708" t="s">
        <v>14</v>
      </c>
      <c r="W33" s="709">
        <f t="shared" si="12"/>
        <v>100</v>
      </c>
      <c r="X33" s="710"/>
      <c r="Y33" s="3746"/>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746"/>
      <c r="Q34" s="1351" t="str">
        <f>B34</f>
        <v>宗地面积</v>
      </c>
      <c r="R34" s="705" t="s">
        <v>14</v>
      </c>
      <c r="S34" s="706">
        <f t="shared" si="10"/>
        <v>98</v>
      </c>
      <c r="T34" s="705" t="s">
        <v>14</v>
      </c>
      <c r="U34" s="706">
        <f t="shared" si="11"/>
        <v>98</v>
      </c>
      <c r="V34" s="705" t="s">
        <v>14</v>
      </c>
      <c r="W34" s="706">
        <f t="shared" si="12"/>
        <v>100</v>
      </c>
      <c r="X34" s="1354"/>
      <c r="Y34" s="3746"/>
      <c r="Z34" s="1355" t="str">
        <f t="shared" si="13"/>
        <v>宗地面积</v>
      </c>
      <c r="AA34" s="1352">
        <f t="shared" si="3"/>
        <v>1.0204081632653061</v>
      </c>
      <c r="AB34" s="1352">
        <f t="shared" si="4"/>
        <v>1.0204081632653061</v>
      </c>
      <c r="AC34" s="1352">
        <f t="shared" si="5"/>
        <v>1</v>
      </c>
    </row>
    <row r="35" spans="1:31" ht="15">
      <c r="A35" s="423"/>
      <c r="B35" s="375" t="s">
        <v>1857</v>
      </c>
      <c r="C35" s="1905" t="s">
        <v>3610</v>
      </c>
      <c r="D35" s="386">
        <v>100</v>
      </c>
      <c r="E35" s="1905" t="s">
        <v>3610</v>
      </c>
      <c r="F35" s="386">
        <f>SUMIF(110:110,E35,111:111)-SUMIF(110:110,C35,111:111)+100</f>
        <v>100</v>
      </c>
      <c r="G35" s="1905" t="s">
        <v>3610</v>
      </c>
      <c r="H35" s="386">
        <f>SUMIF(110:110,G35,111:111)-SUMIF(110:110,C35,111:111)+100</f>
        <v>100</v>
      </c>
      <c r="I35" s="1905" t="s">
        <v>3610</v>
      </c>
      <c r="J35" s="386">
        <f>SUMIF(110:110,I35,111:111)-SUMIF(110:110,C35,111:111)+100</f>
        <v>100</v>
      </c>
      <c r="K35" s="561">
        <v>2</v>
      </c>
      <c r="L35" s="2696"/>
      <c r="M35" s="2690"/>
      <c r="N35" s="2690"/>
      <c r="O35" s="2748"/>
      <c r="P35" s="3746"/>
      <c r="Q35" s="1351" t="str">
        <f t="shared" ref="Q35:Q40" si="14">B35</f>
        <v>宗地形状</v>
      </c>
      <c r="R35" s="705" t="s">
        <v>14</v>
      </c>
      <c r="S35" s="706">
        <f t="shared" si="10"/>
        <v>100</v>
      </c>
      <c r="T35" s="705" t="s">
        <v>14</v>
      </c>
      <c r="U35" s="706">
        <f t="shared" si="11"/>
        <v>100</v>
      </c>
      <c r="V35" s="705" t="s">
        <v>14</v>
      </c>
      <c r="W35" s="706">
        <f t="shared" si="12"/>
        <v>100</v>
      </c>
      <c r="X35" s="1354"/>
      <c r="Y35" s="3746"/>
      <c r="Z35" s="1355" t="str">
        <f t="shared" si="13"/>
        <v>宗地形状</v>
      </c>
      <c r="AA35" s="1352">
        <f t="shared" si="3"/>
        <v>1</v>
      </c>
      <c r="AB35" s="1352">
        <f t="shared" si="4"/>
        <v>1</v>
      </c>
      <c r="AC35" s="1352">
        <f t="shared" si="5"/>
        <v>1</v>
      </c>
    </row>
    <row r="36" spans="1:31" s="108" customFormat="1" ht="15">
      <c r="A36" s="424"/>
      <c r="B36" s="375" t="s">
        <v>1859</v>
      </c>
      <c r="C36" s="1979" t="s">
        <v>3613</v>
      </c>
      <c r="D36" s="127">
        <v>100</v>
      </c>
      <c r="E36" s="1979" t="s">
        <v>3614</v>
      </c>
      <c r="F36" s="386">
        <f>SUMIF(112:112,E36,113:113)-SUMIF(112:112,C36,113:113)+100</f>
        <v>98</v>
      </c>
      <c r="G36" s="1979" t="s">
        <v>3613</v>
      </c>
      <c r="H36" s="386">
        <f>SUMIF(112:112,G36,113:113)-SUMIF(112:112,C36,113:113)+100</f>
        <v>100</v>
      </c>
      <c r="I36" s="1979" t="s">
        <v>3615</v>
      </c>
      <c r="J36" s="386">
        <f>SUMIF(112:112,I36,113:113)-SUMIF(112:112,C36,113:113)+100</f>
        <v>94</v>
      </c>
      <c r="K36" s="561">
        <v>2</v>
      </c>
      <c r="L36" s="2691"/>
      <c r="M36" s="2692"/>
      <c r="N36" s="2692"/>
      <c r="O36" s="2746"/>
      <c r="P36" s="3746"/>
      <c r="Q36" s="1351" t="str">
        <f t="shared" si="14"/>
        <v>宗地开发程度</v>
      </c>
      <c r="R36" s="701" t="s">
        <v>14</v>
      </c>
      <c r="S36" s="702">
        <f t="shared" si="10"/>
        <v>98</v>
      </c>
      <c r="T36" s="701" t="s">
        <v>14</v>
      </c>
      <c r="U36" s="702">
        <f t="shared" si="11"/>
        <v>100</v>
      </c>
      <c r="V36" s="701" t="s">
        <v>14</v>
      </c>
      <c r="W36" s="702">
        <f t="shared" si="12"/>
        <v>94</v>
      </c>
      <c r="X36" s="703"/>
      <c r="Y36" s="3746"/>
      <c r="Z36" s="52" t="str">
        <f t="shared" si="13"/>
        <v>宗地开发程度</v>
      </c>
      <c r="AA36" s="704">
        <f t="shared" si="3"/>
        <v>1.0204081632653061</v>
      </c>
      <c r="AB36" s="704">
        <f t="shared" si="4"/>
        <v>1</v>
      </c>
      <c r="AC36" s="704">
        <f t="shared" si="5"/>
        <v>1.0638297872340425</v>
      </c>
    </row>
    <row r="37" spans="1:31" ht="15.75" thickBot="1">
      <c r="A37" s="423"/>
      <c r="B37" s="375" t="s">
        <v>1860</v>
      </c>
      <c r="C37" s="1905" t="s">
        <v>3601</v>
      </c>
      <c r="D37" s="386">
        <v>100</v>
      </c>
      <c r="E37" s="1905" t="s">
        <v>3601</v>
      </c>
      <c r="F37" s="386">
        <f>SUMIF(114:114,E37,115:115)-SUMIF(114:114,C37,115:115)+100</f>
        <v>100</v>
      </c>
      <c r="G37" s="1905" t="s">
        <v>3601</v>
      </c>
      <c r="H37" s="386">
        <f>SUMIF(114:114,G37,115:115)-SUMIF(114:114,C37,115:115)+100</f>
        <v>100</v>
      </c>
      <c r="I37" s="1905" t="s">
        <v>3601</v>
      </c>
      <c r="J37" s="386">
        <f>SUMIF(114:114,I37,115:115)-SUMIF(114:114,C37,115:115)+100</f>
        <v>100</v>
      </c>
      <c r="K37" s="561">
        <v>2</v>
      </c>
      <c r="L37" s="2696"/>
      <c r="M37" s="2690"/>
      <c r="N37" s="2690"/>
      <c r="O37" s="2748"/>
      <c r="P37" s="3746" t="s">
        <v>1678</v>
      </c>
      <c r="Q37" s="1351" t="str">
        <f t="shared" si="14"/>
        <v>工程地质条件</v>
      </c>
      <c r="R37" s="705" t="s">
        <v>14</v>
      </c>
      <c r="S37" s="706">
        <f t="shared" si="10"/>
        <v>100</v>
      </c>
      <c r="T37" s="705" t="s">
        <v>14</v>
      </c>
      <c r="U37" s="706">
        <f t="shared" si="11"/>
        <v>100</v>
      </c>
      <c r="V37" s="705" t="s">
        <v>14</v>
      </c>
      <c r="W37" s="706">
        <f t="shared" si="12"/>
        <v>100</v>
      </c>
      <c r="X37" s="1354"/>
      <c r="Y37" s="3746"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746"/>
      <c r="Q38" s="1351">
        <f t="shared" si="14"/>
        <v>111</v>
      </c>
      <c r="R38" s="705" t="s">
        <v>14</v>
      </c>
      <c r="S38" s="706">
        <f t="shared" si="10"/>
        <v>100</v>
      </c>
      <c r="T38" s="705" t="s">
        <v>14</v>
      </c>
      <c r="U38" s="706">
        <f t="shared" si="11"/>
        <v>100</v>
      </c>
      <c r="V38" s="705" t="s">
        <v>14</v>
      </c>
      <c r="W38" s="706">
        <f t="shared" si="12"/>
        <v>100</v>
      </c>
      <c r="X38" s="1354"/>
      <c r="Y38" s="3746"/>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746"/>
      <c r="Q39" s="1351">
        <f t="shared" si="14"/>
        <v>111</v>
      </c>
      <c r="R39" s="705" t="s">
        <v>14</v>
      </c>
      <c r="S39" s="706">
        <f t="shared" si="10"/>
        <v>100</v>
      </c>
      <c r="T39" s="705" t="s">
        <v>14</v>
      </c>
      <c r="U39" s="706">
        <f t="shared" si="11"/>
        <v>100</v>
      </c>
      <c r="V39" s="705" t="s">
        <v>14</v>
      </c>
      <c r="W39" s="706">
        <f t="shared" si="12"/>
        <v>100</v>
      </c>
      <c r="X39" s="1354"/>
      <c r="Y39" s="3746"/>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746"/>
      <c r="Q40" s="1351">
        <f t="shared" si="14"/>
        <v>111</v>
      </c>
      <c r="R40" s="708" t="s">
        <v>14</v>
      </c>
      <c r="S40" s="709">
        <f t="shared" si="10"/>
        <v>100</v>
      </c>
      <c r="T40" s="708" t="s">
        <v>14</v>
      </c>
      <c r="U40" s="709">
        <f t="shared" si="11"/>
        <v>100</v>
      </c>
      <c r="V40" s="708" t="s">
        <v>14</v>
      </c>
      <c r="W40" s="709">
        <f t="shared" si="12"/>
        <v>100</v>
      </c>
      <c r="X40" s="710"/>
      <c r="Y40" s="3746"/>
      <c r="Z40" s="711">
        <f t="shared" si="13"/>
        <v>111</v>
      </c>
      <c r="AA40" s="1352">
        <f t="shared" si="3"/>
        <v>1</v>
      </c>
      <c r="AB40" s="1352">
        <f t="shared" si="4"/>
        <v>1</v>
      </c>
      <c r="AC40" s="1352">
        <f t="shared" si="5"/>
        <v>1</v>
      </c>
    </row>
    <row r="41" spans="1:31" ht="15">
      <c r="A41" s="430" t="s">
        <v>1826</v>
      </c>
      <c r="B41" s="1981" t="s">
        <v>3616</v>
      </c>
      <c r="C41" s="630" t="s">
        <v>0</v>
      </c>
      <c r="D41" s="432"/>
      <c r="E41" s="433">
        <f>土地案例!AU2</f>
        <v>13189</v>
      </c>
      <c r="F41" s="434"/>
      <c r="G41" s="435">
        <f>土地案例!AU3</f>
        <v>12606</v>
      </c>
      <c r="H41" s="436"/>
      <c r="I41" s="433">
        <f>土地案例!AU4</f>
        <v>9217</v>
      </c>
      <c r="J41" s="436"/>
      <c r="K41" s="714"/>
      <c r="L41" s="2698"/>
      <c r="M41" s="2690"/>
      <c r="N41" s="2690"/>
      <c r="O41" s="2699"/>
      <c r="P41" s="3739" t="str">
        <f>A41</f>
        <v>成交单价</v>
      </c>
      <c r="Q41" s="3739"/>
      <c r="R41" s="3734">
        <f>E41</f>
        <v>13189</v>
      </c>
      <c r="S41" s="3734"/>
      <c r="T41" s="3734">
        <f>G41</f>
        <v>12606</v>
      </c>
      <c r="U41" s="3734"/>
      <c r="V41" s="3734">
        <f>I41</f>
        <v>9217</v>
      </c>
      <c r="W41" s="3734"/>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739" t="str">
        <f>A42</f>
        <v>比较价值（元/平方米）</v>
      </c>
      <c r="Q42" s="3739"/>
      <c r="R42" s="3767">
        <f>ROUND(PRODUCT(R41,AA7:AA40),0)</f>
        <v>11686</v>
      </c>
      <c r="S42" s="3767"/>
      <c r="T42" s="3767">
        <f>ROUND(PRODUCT(T41,AB7:AB40),0)</f>
        <v>11549</v>
      </c>
      <c r="U42" s="3767"/>
      <c r="V42" s="3767">
        <f>ROUND(PRODUCT(V41,AC7:AC40),0)</f>
        <v>9397</v>
      </c>
      <c r="W42" s="3767"/>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736" t="str">
        <f>A43</f>
        <v>估价对象XX用房的比较价值（楼面单价，元/平方米）</v>
      </c>
      <c r="Q43" s="3737"/>
      <c r="R43" s="3768">
        <f>ROUND(IF(D42="简单平均",AVERAGE(R42:W42),R42*F42+T42*H42+V42*J42),0)</f>
        <v>10877</v>
      </c>
      <c r="S43" s="3768"/>
      <c r="T43" s="3768"/>
      <c r="U43" s="3768"/>
      <c r="V43" s="3768"/>
      <c r="W43" s="3768"/>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722" t="s">
        <v>1869</v>
      </c>
      <c r="H50" s="3769"/>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76.040000000000006</v>
      </c>
      <c r="F51" s="639">
        <f t="shared" ref="F51:F60" si="15">ROUND(B51*E51/10000,0)</f>
        <v>83</v>
      </c>
      <c r="G51" s="3721"/>
      <c r="H51" s="3739"/>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0</v>
      </c>
      <c r="C52" s="171">
        <f t="shared" ref="C52:C60" si="16">IF($C$50="北京市系数",I52,J52)</f>
        <v>0</v>
      </c>
      <c r="D52" s="945">
        <v>0.25</v>
      </c>
      <c r="E52" s="642"/>
      <c r="F52" s="639">
        <f t="shared" si="15"/>
        <v>0</v>
      </c>
      <c r="G52" s="2980" t="s">
        <v>1874</v>
      </c>
      <c r="H52" s="887">
        <f>项目基本情况!B37</f>
        <v>0</v>
      </c>
      <c r="I52" s="773">
        <f>SUMIF(修正!A57:A68,H52,修正!B57:B68)</f>
        <v>0</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0</v>
      </c>
      <c r="C53" s="171">
        <f t="shared" si="16"/>
        <v>0</v>
      </c>
      <c r="D53" s="945">
        <v>0.25</v>
      </c>
      <c r="E53" s="642"/>
      <c r="F53" s="639">
        <f t="shared" si="15"/>
        <v>0</v>
      </c>
      <c r="G53" s="2981"/>
      <c r="H53" s="887">
        <f>项目基本情况!B37</f>
        <v>0</v>
      </c>
      <c r="I53" s="773">
        <f>SUMIF(修正!A57:A68,H53,修正!C57:C68)</f>
        <v>0</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0</v>
      </c>
      <c r="C54" s="171">
        <f t="shared" si="16"/>
        <v>0</v>
      </c>
      <c r="D54" s="945">
        <v>0.25</v>
      </c>
      <c r="E54" s="642"/>
      <c r="F54" s="639">
        <f t="shared" si="15"/>
        <v>0</v>
      </c>
      <c r="G54" s="2981"/>
      <c r="H54" s="887">
        <f>项目基本情况!B37</f>
        <v>0</v>
      </c>
      <c r="I54" s="773">
        <f>SUMIF(修正!A57:A68,H54,修正!D57:D68)</f>
        <v>0</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2"/>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76.040000000000006</v>
      </c>
      <c r="F61" s="645">
        <f>IF(B41="楼面地价",SUM(F51:F60),ROUND(C43*E61/10000,0))</f>
        <v>83</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5" t="s">
        <v>3608</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6" t="s">
        <v>3609</v>
      </c>
      <c r="D110" s="3456" t="s">
        <v>3611</v>
      </c>
      <c r="E110" s="3456" t="s">
        <v>3612</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8" customWidth="1"/>
    <col min="2" max="2" width="20" style="3448" hidden="1" customWidth="1"/>
    <col min="3" max="3" width="13.75" style="3448" customWidth="1"/>
    <col min="4" max="4" width="20" style="3448" hidden="1" customWidth="1"/>
    <col min="5" max="5" width="9.125" style="3448" customWidth="1"/>
    <col min="6" max="6" width="9.75" style="3448" customWidth="1"/>
    <col min="7" max="7" width="20" style="3448" hidden="1" customWidth="1"/>
    <col min="8" max="8" width="16.5" style="3448" customWidth="1"/>
    <col min="9" max="9" width="10.625" style="3448" customWidth="1"/>
    <col min="10" max="10" width="11.5" style="3448" customWidth="1"/>
    <col min="11" max="11" width="11.25" style="3448" customWidth="1"/>
    <col min="12" max="13" width="20" style="3448" hidden="1" customWidth="1"/>
    <col min="14" max="14" width="13.125" style="3448" customWidth="1"/>
    <col min="15" max="15" width="47.25" style="3448" customWidth="1"/>
    <col min="16" max="30" width="20" style="3448" hidden="1" customWidth="1"/>
    <col min="31" max="31" width="11.625" style="3448" customWidth="1"/>
    <col min="32" max="34" width="20" style="3448" hidden="1" customWidth="1"/>
    <col min="35" max="35" width="35" style="3448" customWidth="1"/>
    <col min="36" max="40" width="20" style="3448" hidden="1" customWidth="1"/>
    <col min="41" max="41" width="10" style="3448" customWidth="1"/>
    <col min="42" max="42" width="20" style="3448" hidden="1" customWidth="1"/>
    <col min="43" max="43" width="10.25" style="3448" customWidth="1"/>
    <col min="44" max="44" width="20" style="3448" hidden="1" customWidth="1"/>
    <col min="45" max="45" width="11.375" style="3448" customWidth="1"/>
    <col min="46" max="46" width="20" style="3448" hidden="1" customWidth="1"/>
    <col min="47" max="47" width="10" style="3448" customWidth="1"/>
    <col min="48" max="49" width="20" style="3448" hidden="1" customWidth="1"/>
    <col min="50" max="50" width="11.875" style="3448" customWidth="1"/>
    <col min="51" max="51" width="20" style="3448" customWidth="1"/>
    <col min="52" max="58" width="20" style="3448" hidden="1" customWidth="1"/>
    <col min="59" max="62" width="20" style="3448" customWidth="1"/>
    <col min="63" max="16384" width="9" style="3448"/>
  </cols>
  <sheetData>
    <row r="1" spans="1:61">
      <c r="A1" s="3448" t="s">
        <v>3445</v>
      </c>
      <c r="B1" s="3448" t="s">
        <v>3446</v>
      </c>
      <c r="C1" s="3448" t="s">
        <v>3447</v>
      </c>
      <c r="D1" s="3448" t="s">
        <v>3448</v>
      </c>
      <c r="E1" s="3448" t="s">
        <v>3449</v>
      </c>
      <c r="F1" s="3448" t="s">
        <v>3450</v>
      </c>
      <c r="G1" s="3448" t="s">
        <v>3451</v>
      </c>
      <c r="H1" s="3448" t="s">
        <v>3452</v>
      </c>
      <c r="I1" s="3448" t="s">
        <v>3453</v>
      </c>
      <c r="J1" s="3448" t="s">
        <v>3454</v>
      </c>
      <c r="K1" s="3448" t="s">
        <v>3455</v>
      </c>
      <c r="L1" s="3448" t="s">
        <v>3456</v>
      </c>
      <c r="M1" s="3448" t="s">
        <v>3457</v>
      </c>
      <c r="N1" s="3448" t="s">
        <v>3458</v>
      </c>
      <c r="O1" s="3448" t="s">
        <v>3459</v>
      </c>
      <c r="P1" s="3448" t="s">
        <v>3460</v>
      </c>
      <c r="Q1" s="3448" t="s">
        <v>3461</v>
      </c>
      <c r="R1" s="3448" t="s">
        <v>3462</v>
      </c>
      <c r="S1" s="3448" t="s">
        <v>3463</v>
      </c>
      <c r="T1" s="3448" t="s">
        <v>3464</v>
      </c>
      <c r="U1" s="3448" t="s">
        <v>3465</v>
      </c>
      <c r="V1" s="3448" t="s">
        <v>3466</v>
      </c>
      <c r="W1" s="3448" t="s">
        <v>3467</v>
      </c>
      <c r="X1" s="3448" t="s">
        <v>3468</v>
      </c>
      <c r="Y1" s="3448" t="s">
        <v>3469</v>
      </c>
      <c r="Z1" s="3448" t="s">
        <v>3470</v>
      </c>
      <c r="AA1" s="3448" t="s">
        <v>3471</v>
      </c>
      <c r="AB1" s="3448" t="s">
        <v>3472</v>
      </c>
      <c r="AC1" s="3448" t="s">
        <v>3473</v>
      </c>
      <c r="AD1" s="3448" t="s">
        <v>3474</v>
      </c>
      <c r="AE1" s="3448" t="s">
        <v>3475</v>
      </c>
      <c r="AF1" s="3448" t="s">
        <v>3476</v>
      </c>
      <c r="AG1" s="3448" t="s">
        <v>3477</v>
      </c>
      <c r="AH1" s="3448" t="s">
        <v>3478</v>
      </c>
      <c r="AI1" s="3448" t="s">
        <v>3479</v>
      </c>
      <c r="AJ1" s="3448" t="s">
        <v>3480</v>
      </c>
      <c r="AK1" s="3448" t="s">
        <v>3481</v>
      </c>
      <c r="AL1" s="3448" t="s">
        <v>3482</v>
      </c>
      <c r="AM1" s="3448" t="s">
        <v>3483</v>
      </c>
      <c r="AN1" s="3448" t="s">
        <v>3484</v>
      </c>
      <c r="AO1" s="3448" t="s">
        <v>3485</v>
      </c>
      <c r="AP1" s="3448" t="s">
        <v>3486</v>
      </c>
      <c r="AQ1" s="3448" t="s">
        <v>3487</v>
      </c>
      <c r="AR1" s="3448" t="s">
        <v>3488</v>
      </c>
      <c r="AS1" s="3448" t="s">
        <v>3489</v>
      </c>
      <c r="AT1" s="3448" t="s">
        <v>3490</v>
      </c>
      <c r="AU1" s="3448" t="s">
        <v>3491</v>
      </c>
      <c r="AV1" s="3448" t="s">
        <v>3492</v>
      </c>
      <c r="AW1" s="3448" t="s">
        <v>3493</v>
      </c>
      <c r="AX1" s="3448" t="s">
        <v>3494</v>
      </c>
      <c r="AY1" s="3448" t="s">
        <v>3495</v>
      </c>
      <c r="AZ1" s="3448" t="s">
        <v>3496</v>
      </c>
      <c r="BA1" s="3448" t="s">
        <v>3497</v>
      </c>
      <c r="BB1" s="3448" t="s">
        <v>3498</v>
      </c>
      <c r="BC1" s="3448" t="s">
        <v>3499</v>
      </c>
      <c r="BD1" s="3448" t="s">
        <v>3500</v>
      </c>
      <c r="BE1" s="3448" t="s">
        <v>3501</v>
      </c>
      <c r="BF1" s="3448" t="s">
        <v>3502</v>
      </c>
      <c r="BG1" s="3448" t="s">
        <v>3503</v>
      </c>
      <c r="BH1" s="3448" t="s">
        <v>3504</v>
      </c>
      <c r="BI1" s="3448" t="s">
        <v>3505</v>
      </c>
    </row>
    <row r="2" spans="1:61">
      <c r="A2" s="3448" t="s">
        <v>3617</v>
      </c>
      <c r="B2" s="3448" t="s">
        <v>3361</v>
      </c>
      <c r="C2" s="3448" t="s">
        <v>3507</v>
      </c>
      <c r="D2" s="3448" t="s">
        <v>3508</v>
      </c>
      <c r="E2" s="3448" t="s">
        <v>3509</v>
      </c>
      <c r="F2" s="3448" t="s">
        <v>3510</v>
      </c>
      <c r="G2" s="3448" t="s">
        <v>3511</v>
      </c>
      <c r="H2" s="3448" t="s">
        <v>3512</v>
      </c>
      <c r="I2" s="3448">
        <v>37655.61</v>
      </c>
      <c r="J2" s="3448">
        <v>56108.97</v>
      </c>
      <c r="K2" s="3448">
        <f>ROUND(J2/I2,1)</f>
        <v>1.5</v>
      </c>
      <c r="L2" s="3448">
        <v>1.6</v>
      </c>
      <c r="M2" s="3448" t="s">
        <v>3514</v>
      </c>
      <c r="N2" s="3448" t="s">
        <v>3515</v>
      </c>
      <c r="O2" s="3448" t="s">
        <v>3516</v>
      </c>
      <c r="P2" s="3448" t="s">
        <v>3517</v>
      </c>
      <c r="Q2" s="3448" t="s">
        <v>3518</v>
      </c>
      <c r="R2" s="3448" t="s">
        <v>3518</v>
      </c>
      <c r="S2" s="3448" t="s">
        <v>3519</v>
      </c>
      <c r="T2" s="3448" t="s">
        <v>3518</v>
      </c>
      <c r="U2" s="3448" t="s">
        <v>3518</v>
      </c>
      <c r="V2" s="3448" t="s">
        <v>3518</v>
      </c>
      <c r="W2" s="3448" t="s">
        <v>3518</v>
      </c>
      <c r="X2" s="3448" t="s">
        <v>3518</v>
      </c>
      <c r="Y2" s="3448" t="s">
        <v>3518</v>
      </c>
      <c r="Z2" s="3448">
        <v>0</v>
      </c>
      <c r="AA2" s="3448">
        <v>0</v>
      </c>
      <c r="AB2" s="3449">
        <v>45329.000497685185</v>
      </c>
      <c r="AC2" s="3449">
        <v>45352.000497685185</v>
      </c>
      <c r="AD2" s="3449">
        <v>45366.000497685185</v>
      </c>
      <c r="AE2" s="3449">
        <v>45366.000497685185</v>
      </c>
      <c r="AF2" s="3448" t="s">
        <v>3520</v>
      </c>
      <c r="AG2" s="3448" t="s">
        <v>3521</v>
      </c>
      <c r="AH2" s="3448" t="s">
        <v>3522</v>
      </c>
      <c r="AI2" s="3448" t="s">
        <v>3523</v>
      </c>
      <c r="AJ2" s="3448" t="s">
        <v>3524</v>
      </c>
      <c r="AK2" s="3448" t="s">
        <v>3525</v>
      </c>
      <c r="AL2" s="3448">
        <v>74000</v>
      </c>
      <c r="AM2" s="3448">
        <v>15000</v>
      </c>
      <c r="AN2" s="3448" t="s">
        <v>3526</v>
      </c>
      <c r="AO2" s="3448">
        <v>74000</v>
      </c>
      <c r="AP2" s="3448">
        <v>19651.78</v>
      </c>
      <c r="AQ2" s="3448">
        <v>19651.78</v>
      </c>
      <c r="AR2" s="3448">
        <v>1310.1199999999999</v>
      </c>
      <c r="AS2" s="3448">
        <v>1310.1199999999999</v>
      </c>
      <c r="AT2" s="3448">
        <v>13189</v>
      </c>
      <c r="AU2" s="3448">
        <v>13189</v>
      </c>
      <c r="AV2" s="3448" t="s">
        <v>3518</v>
      </c>
      <c r="AW2" s="3448" t="s">
        <v>3518</v>
      </c>
      <c r="AX2" s="3448">
        <v>0</v>
      </c>
      <c r="AY2" s="3448" t="s">
        <v>3527</v>
      </c>
      <c r="AZ2" s="3448" t="s">
        <v>3518</v>
      </c>
      <c r="BA2" s="3448" t="s">
        <v>3518</v>
      </c>
      <c r="BB2" s="3448" t="s">
        <v>3518</v>
      </c>
      <c r="BC2" s="3448" t="s">
        <v>3518</v>
      </c>
      <c r="BD2" s="3448" t="s">
        <v>3518</v>
      </c>
      <c r="BE2" s="3448" t="s">
        <v>3518</v>
      </c>
      <c r="BF2" s="3448" t="s">
        <v>3518</v>
      </c>
      <c r="BG2" s="3448" t="s">
        <v>3528</v>
      </c>
      <c r="BH2" s="3448" t="s">
        <v>3529</v>
      </c>
      <c r="BI2" s="3448" t="s">
        <v>3530</v>
      </c>
    </row>
    <row r="3" spans="1:61">
      <c r="A3" s="3448" t="s">
        <v>3542</v>
      </c>
      <c r="B3" s="3448" t="s">
        <v>3361</v>
      </c>
      <c r="C3" s="3448" t="s">
        <v>3543</v>
      </c>
      <c r="D3" s="3448" t="s">
        <v>3508</v>
      </c>
      <c r="E3" s="3448" t="s">
        <v>3544</v>
      </c>
      <c r="F3" s="3448" t="s">
        <v>3510</v>
      </c>
      <c r="G3" s="3448" t="s">
        <v>3545</v>
      </c>
      <c r="H3" s="3448" t="s">
        <v>3512</v>
      </c>
      <c r="I3" s="3448">
        <v>32636.74</v>
      </c>
      <c r="J3" s="3448">
        <v>78328</v>
      </c>
      <c r="K3" s="3448">
        <v>2.4</v>
      </c>
      <c r="L3" s="3448">
        <v>2.4</v>
      </c>
      <c r="M3" s="3448" t="s">
        <v>3514</v>
      </c>
      <c r="N3" s="3448" t="s">
        <v>3546</v>
      </c>
      <c r="O3" s="3448" t="s">
        <v>3547</v>
      </c>
      <c r="P3" s="3448" t="s">
        <v>3517</v>
      </c>
      <c r="Q3" s="3448" t="s">
        <v>3518</v>
      </c>
      <c r="R3" s="3448" t="s">
        <v>3518</v>
      </c>
      <c r="S3" s="3448">
        <v>36</v>
      </c>
      <c r="T3" s="3448" t="s">
        <v>3518</v>
      </c>
      <c r="U3" s="3448" t="s">
        <v>3518</v>
      </c>
      <c r="V3" s="3448" t="s">
        <v>3518</v>
      </c>
      <c r="W3" s="3448" t="s">
        <v>3518</v>
      </c>
      <c r="X3" s="3448" t="s">
        <v>3518</v>
      </c>
      <c r="Y3" s="3448" t="s">
        <v>3518</v>
      </c>
      <c r="Z3" s="3448">
        <v>0</v>
      </c>
      <c r="AA3" s="3448">
        <v>0</v>
      </c>
      <c r="AB3" s="3449">
        <v>45274.000497685185</v>
      </c>
      <c r="AC3" s="3449">
        <v>45294.000497685185</v>
      </c>
      <c r="AD3" s="3449">
        <v>45308.000497685185</v>
      </c>
      <c r="AE3" s="3449">
        <v>45308.000497685185</v>
      </c>
      <c r="AF3" s="3448" t="s">
        <v>3548</v>
      </c>
      <c r="AG3" s="3448" t="s">
        <v>3521</v>
      </c>
      <c r="AH3" s="3448" t="s">
        <v>3549</v>
      </c>
      <c r="AI3" s="3448" t="s">
        <v>3550</v>
      </c>
      <c r="AJ3" s="3448" t="s">
        <v>3524</v>
      </c>
      <c r="AK3" s="3448" t="s">
        <v>3525</v>
      </c>
      <c r="AL3" s="3448">
        <v>65000</v>
      </c>
      <c r="AM3" s="3448">
        <v>13000</v>
      </c>
      <c r="AN3" s="3448" t="s">
        <v>3551</v>
      </c>
      <c r="AO3" s="3448">
        <v>65000</v>
      </c>
      <c r="AP3" s="3448">
        <v>19916.2</v>
      </c>
      <c r="AQ3" s="3448">
        <v>19916.2</v>
      </c>
      <c r="AR3" s="3448">
        <v>1327.75</v>
      </c>
      <c r="AS3" s="3448">
        <v>1327.75</v>
      </c>
      <c r="AT3" s="3448">
        <v>8298</v>
      </c>
      <c r="AU3" s="3448">
        <f>ROUND(AS19,0)</f>
        <v>12606</v>
      </c>
      <c r="AV3" s="3448" t="s">
        <v>3518</v>
      </c>
      <c r="AW3" s="3448" t="s">
        <v>3518</v>
      </c>
      <c r="AX3" s="3448">
        <v>0</v>
      </c>
      <c r="AY3" s="3448" t="s">
        <v>3562</v>
      </c>
      <c r="AZ3" s="3448" t="s">
        <v>3518</v>
      </c>
      <c r="BA3" s="3448" t="s">
        <v>3518</v>
      </c>
      <c r="BB3" s="3448" t="s">
        <v>3518</v>
      </c>
      <c r="BC3" s="3448" t="s">
        <v>3518</v>
      </c>
      <c r="BD3" s="3448" t="s">
        <v>3518</v>
      </c>
      <c r="BE3" s="3448" t="s">
        <v>3518</v>
      </c>
      <c r="BF3" s="3448" t="s">
        <v>3518</v>
      </c>
      <c r="BG3" s="3448" t="s">
        <v>3528</v>
      </c>
      <c r="BH3" s="3448" t="s">
        <v>3529</v>
      </c>
      <c r="BI3" s="3448" t="s">
        <v>3530</v>
      </c>
    </row>
    <row r="4" spans="1:61">
      <c r="A4" s="3448" t="s">
        <v>3552</v>
      </c>
      <c r="B4" s="3448" t="s">
        <v>3361</v>
      </c>
      <c r="C4" s="3448" t="s">
        <v>3553</v>
      </c>
      <c r="D4" s="3448" t="s">
        <v>3508</v>
      </c>
      <c r="E4" s="3448" t="s">
        <v>3544</v>
      </c>
      <c r="F4" s="3448" t="s">
        <v>3554</v>
      </c>
      <c r="G4" s="3448" t="s">
        <v>3545</v>
      </c>
      <c r="H4" s="3448" t="s">
        <v>3512</v>
      </c>
      <c r="I4" s="3448">
        <v>64012.4</v>
      </c>
      <c r="J4" s="3448">
        <v>192037.19</v>
      </c>
      <c r="K4" s="3448">
        <v>3</v>
      </c>
      <c r="L4" s="3448">
        <v>3</v>
      </c>
      <c r="M4" s="3448" t="s">
        <v>3514</v>
      </c>
      <c r="N4" s="3448" t="s">
        <v>3555</v>
      </c>
      <c r="O4" s="3448" t="s">
        <v>3547</v>
      </c>
      <c r="P4" s="3448" t="s">
        <v>3517</v>
      </c>
      <c r="Q4" s="3448" t="s">
        <v>3518</v>
      </c>
      <c r="R4" s="3448" t="s">
        <v>3518</v>
      </c>
      <c r="S4" s="3448" t="s">
        <v>3518</v>
      </c>
      <c r="T4" s="3448" t="s">
        <v>3518</v>
      </c>
      <c r="U4" s="3448" t="s">
        <v>3518</v>
      </c>
      <c r="V4" s="3448" t="s">
        <v>3518</v>
      </c>
      <c r="W4" s="3448" t="s">
        <v>3518</v>
      </c>
      <c r="X4" s="3448" t="s">
        <v>3518</v>
      </c>
      <c r="Y4" s="3448" t="s">
        <v>3518</v>
      </c>
      <c r="Z4" s="3448">
        <v>0</v>
      </c>
      <c r="AA4" s="3448">
        <v>0</v>
      </c>
      <c r="AB4" s="3449">
        <v>44896.000497685185</v>
      </c>
      <c r="AC4" s="3449">
        <v>44916.000497685185</v>
      </c>
      <c r="AD4" s="3449">
        <v>44931.000497685185</v>
      </c>
      <c r="AE4" s="3449">
        <v>44931.000497685185</v>
      </c>
      <c r="AF4" s="3448" t="s">
        <v>3556</v>
      </c>
      <c r="AG4" s="3448" t="s">
        <v>3521</v>
      </c>
      <c r="AH4" s="3448" t="s">
        <v>3557</v>
      </c>
      <c r="AI4" s="3448" t="s">
        <v>3558</v>
      </c>
      <c r="AJ4" s="3448" t="s">
        <v>3559</v>
      </c>
      <c r="AK4" s="3448" t="s">
        <v>3560</v>
      </c>
      <c r="AL4" s="3448">
        <v>177000</v>
      </c>
      <c r="AM4" s="3448">
        <v>36000</v>
      </c>
      <c r="AN4" s="3448" t="s">
        <v>3561</v>
      </c>
      <c r="AO4" s="3448">
        <v>177000</v>
      </c>
      <c r="AP4" s="3448">
        <v>27650.89</v>
      </c>
      <c r="AQ4" s="3448">
        <v>27650.89</v>
      </c>
      <c r="AR4" s="3448">
        <v>1843.39</v>
      </c>
      <c r="AS4" s="3448">
        <v>1843.39</v>
      </c>
      <c r="AT4" s="3448">
        <v>9217</v>
      </c>
      <c r="AU4" s="3448">
        <v>9217</v>
      </c>
      <c r="AV4" s="3448" t="s">
        <v>3518</v>
      </c>
      <c r="AW4" s="3448" t="s">
        <v>3518</v>
      </c>
      <c r="AX4" s="3448">
        <v>0</v>
      </c>
      <c r="AY4" s="3448" t="s">
        <v>3562</v>
      </c>
      <c r="AZ4" s="3448" t="s">
        <v>3518</v>
      </c>
      <c r="BA4" s="3448" t="s">
        <v>3518</v>
      </c>
      <c r="BB4" s="3448" t="s">
        <v>3518</v>
      </c>
      <c r="BC4" s="3448" t="s">
        <v>3518</v>
      </c>
      <c r="BD4" s="3448" t="s">
        <v>3518</v>
      </c>
      <c r="BE4" s="3448" t="s">
        <v>3518</v>
      </c>
      <c r="BF4" s="3448" t="s">
        <v>3518</v>
      </c>
      <c r="BG4" s="3448" t="s">
        <v>3528</v>
      </c>
      <c r="BH4" s="3448" t="s">
        <v>3529</v>
      </c>
      <c r="BI4" s="3448" t="s">
        <v>3530</v>
      </c>
    </row>
    <row r="7" spans="1:61">
      <c r="A7" s="3448" t="s">
        <v>3445</v>
      </c>
      <c r="B7" s="3448" t="s">
        <v>3446</v>
      </c>
      <c r="C7" s="3448" t="s">
        <v>3447</v>
      </c>
      <c r="D7" s="3448" t="s">
        <v>3448</v>
      </c>
      <c r="E7" s="3448" t="s">
        <v>3449</v>
      </c>
      <c r="F7" s="3448" t="s">
        <v>3450</v>
      </c>
      <c r="G7" s="3448" t="s">
        <v>3451</v>
      </c>
      <c r="H7" s="3448" t="s">
        <v>3452</v>
      </c>
      <c r="I7" s="3448" t="s">
        <v>3453</v>
      </c>
      <c r="J7" s="3448" t="s">
        <v>3454</v>
      </c>
      <c r="K7" s="3448" t="s">
        <v>3455</v>
      </c>
      <c r="L7" s="3448" t="s">
        <v>3456</v>
      </c>
      <c r="M7" s="3448" t="s">
        <v>3457</v>
      </c>
      <c r="N7" s="3448" t="s">
        <v>3458</v>
      </c>
      <c r="O7" s="3448" t="s">
        <v>3459</v>
      </c>
      <c r="P7" s="3448" t="s">
        <v>3460</v>
      </c>
      <c r="Q7" s="3448" t="s">
        <v>3461</v>
      </c>
      <c r="R7" s="3448" t="s">
        <v>3462</v>
      </c>
      <c r="S7" s="3448" t="s">
        <v>3463</v>
      </c>
      <c r="T7" s="3448" t="s">
        <v>3464</v>
      </c>
      <c r="U7" s="3448" t="s">
        <v>3465</v>
      </c>
      <c r="V7" s="3448" t="s">
        <v>3466</v>
      </c>
      <c r="W7" s="3448" t="s">
        <v>3467</v>
      </c>
      <c r="X7" s="3448" t="s">
        <v>3468</v>
      </c>
      <c r="Y7" s="3448" t="s">
        <v>3469</v>
      </c>
      <c r="Z7" s="3448" t="s">
        <v>3470</v>
      </c>
      <c r="AA7" s="3448" t="s">
        <v>3471</v>
      </c>
      <c r="AB7" s="3448" t="s">
        <v>3472</v>
      </c>
      <c r="AC7" s="3448" t="s">
        <v>3473</v>
      </c>
      <c r="AD7" s="3448" t="s">
        <v>3474</v>
      </c>
      <c r="AE7" s="3448" t="s">
        <v>3475</v>
      </c>
      <c r="AF7" s="3448" t="s">
        <v>3476</v>
      </c>
      <c r="AG7" s="3448" t="s">
        <v>3477</v>
      </c>
      <c r="AH7" s="3448" t="s">
        <v>3478</v>
      </c>
      <c r="AI7" s="3448" t="s">
        <v>3479</v>
      </c>
      <c r="AJ7" s="3448" t="s">
        <v>3480</v>
      </c>
      <c r="AK7" s="3448" t="s">
        <v>3481</v>
      </c>
      <c r="AL7" s="3448" t="s">
        <v>3482</v>
      </c>
      <c r="AM7" s="3448" t="s">
        <v>3483</v>
      </c>
      <c r="AN7" s="3448" t="s">
        <v>3484</v>
      </c>
      <c r="AO7" s="3448" t="s">
        <v>3485</v>
      </c>
      <c r="AP7" s="3448" t="s">
        <v>3486</v>
      </c>
      <c r="AQ7" s="3448" t="s">
        <v>3487</v>
      </c>
      <c r="AR7" s="3448" t="s">
        <v>3488</v>
      </c>
      <c r="AS7" s="3448" t="s">
        <v>3489</v>
      </c>
      <c r="AT7" s="3448" t="s">
        <v>3490</v>
      </c>
      <c r="AU7" s="3448" t="s">
        <v>3491</v>
      </c>
      <c r="AV7" s="3448" t="s">
        <v>3492</v>
      </c>
      <c r="AW7" s="3448" t="s">
        <v>3493</v>
      </c>
      <c r="AX7" s="3448" t="s">
        <v>3494</v>
      </c>
      <c r="AY7" s="3448" t="s">
        <v>3495</v>
      </c>
      <c r="AZ7" s="3448" t="s">
        <v>3496</v>
      </c>
      <c r="BA7" s="3448" t="s">
        <v>3497</v>
      </c>
      <c r="BB7" s="3448" t="s">
        <v>3498</v>
      </c>
      <c r="BC7" s="3448" t="s">
        <v>3499</v>
      </c>
      <c r="BD7" s="3448" t="s">
        <v>3500</v>
      </c>
      <c r="BE7" s="3448" t="s">
        <v>3501</v>
      </c>
      <c r="BF7" s="3448" t="s">
        <v>3502</v>
      </c>
      <c r="BG7" s="3448" t="s">
        <v>3503</v>
      </c>
      <c r="BH7" s="3448" t="s">
        <v>3504</v>
      </c>
      <c r="BI7" s="3448" t="s">
        <v>3505</v>
      </c>
    </row>
    <row r="8" spans="1:61">
      <c r="A8" s="3448" t="s">
        <v>3506</v>
      </c>
      <c r="B8" s="3448" t="s">
        <v>3361</v>
      </c>
      <c r="C8" s="3448" t="s">
        <v>3507</v>
      </c>
      <c r="D8" s="3448" t="s">
        <v>3508</v>
      </c>
      <c r="E8" s="3448" t="s">
        <v>3509</v>
      </c>
      <c r="F8" s="3448" t="s">
        <v>3510</v>
      </c>
      <c r="G8" s="3448" t="s">
        <v>3511</v>
      </c>
      <c r="H8" s="3448" t="s">
        <v>3512</v>
      </c>
      <c r="I8" s="3448">
        <v>37655.61</v>
      </c>
      <c r="J8" s="3448">
        <v>56108.97</v>
      </c>
      <c r="K8" s="3448" t="s">
        <v>3513</v>
      </c>
      <c r="L8" s="3448">
        <v>1.6</v>
      </c>
      <c r="M8" s="3448" t="s">
        <v>3514</v>
      </c>
      <c r="N8" s="3448" t="s">
        <v>3515</v>
      </c>
      <c r="O8" s="3448" t="s">
        <v>3516</v>
      </c>
      <c r="P8" s="3448" t="s">
        <v>3517</v>
      </c>
      <c r="Q8" s="3448" t="s">
        <v>3518</v>
      </c>
      <c r="R8" s="3448" t="s">
        <v>3518</v>
      </c>
      <c r="S8" s="3448" t="s">
        <v>3519</v>
      </c>
      <c r="T8" s="3448" t="s">
        <v>3518</v>
      </c>
      <c r="U8" s="3448" t="s">
        <v>3518</v>
      </c>
      <c r="V8" s="3448" t="s">
        <v>3518</v>
      </c>
      <c r="W8" s="3448" t="s">
        <v>3518</v>
      </c>
      <c r="X8" s="3448" t="s">
        <v>3518</v>
      </c>
      <c r="Y8" s="3448" t="s">
        <v>3518</v>
      </c>
      <c r="Z8" s="3448">
        <v>0</v>
      </c>
      <c r="AA8" s="3448">
        <v>0</v>
      </c>
      <c r="AB8" s="3449">
        <v>45329.000497685185</v>
      </c>
      <c r="AC8" s="3449">
        <v>45352.000497685185</v>
      </c>
      <c r="AD8" s="3449">
        <v>45366.000497685185</v>
      </c>
      <c r="AE8" s="3449">
        <v>45366.000497685185</v>
      </c>
      <c r="AF8" s="3448" t="s">
        <v>3520</v>
      </c>
      <c r="AG8" s="3448" t="s">
        <v>3521</v>
      </c>
      <c r="AH8" s="3448" t="s">
        <v>3522</v>
      </c>
      <c r="AI8" s="3448" t="s">
        <v>3523</v>
      </c>
      <c r="AJ8" s="3448" t="s">
        <v>3524</v>
      </c>
      <c r="AK8" s="3448" t="s">
        <v>3525</v>
      </c>
      <c r="AL8" s="3448">
        <v>74000</v>
      </c>
      <c r="AM8" s="3448">
        <v>15000</v>
      </c>
      <c r="AN8" s="3448" t="s">
        <v>3526</v>
      </c>
      <c r="AO8" s="3448">
        <v>74000</v>
      </c>
      <c r="AP8" s="3448">
        <v>19651.78</v>
      </c>
      <c r="AQ8" s="3448">
        <v>19651.78</v>
      </c>
      <c r="AR8" s="3448">
        <v>1310.1199999999999</v>
      </c>
      <c r="AS8" s="3448">
        <v>1310.1199999999999</v>
      </c>
      <c r="AT8" s="3448">
        <v>13189</v>
      </c>
      <c r="AU8" s="3448">
        <v>13189</v>
      </c>
      <c r="AV8" s="3448" t="s">
        <v>3518</v>
      </c>
      <c r="AW8" s="3448" t="s">
        <v>3518</v>
      </c>
      <c r="AX8" s="3448">
        <v>0</v>
      </c>
      <c r="AY8" s="3448" t="s">
        <v>3527</v>
      </c>
      <c r="AZ8" s="3448" t="s">
        <v>3518</v>
      </c>
      <c r="BA8" s="3448" t="s">
        <v>3518</v>
      </c>
      <c r="BB8" s="3448" t="s">
        <v>3518</v>
      </c>
      <c r="BC8" s="3448" t="s">
        <v>3518</v>
      </c>
      <c r="BD8" s="3448" t="s">
        <v>3518</v>
      </c>
      <c r="BE8" s="3448" t="s">
        <v>3518</v>
      </c>
      <c r="BF8" s="3448" t="s">
        <v>3518</v>
      </c>
      <c r="BG8" s="3448" t="s">
        <v>3528</v>
      </c>
      <c r="BH8" s="3448" t="s">
        <v>3529</v>
      </c>
      <c r="BI8" s="3448" t="s">
        <v>3530</v>
      </c>
    </row>
    <row r="9" spans="1:61">
      <c r="A9" s="3448" t="s">
        <v>3531</v>
      </c>
      <c r="B9" s="3448" t="s">
        <v>3361</v>
      </c>
      <c r="C9" s="3448" t="s">
        <v>3532</v>
      </c>
      <c r="D9" s="3448" t="s">
        <v>3508</v>
      </c>
      <c r="E9" s="3448" t="s">
        <v>3509</v>
      </c>
      <c r="F9" s="3448" t="s">
        <v>3533</v>
      </c>
      <c r="G9" s="3448" t="s">
        <v>3534</v>
      </c>
      <c r="H9" s="3448" t="s">
        <v>3512</v>
      </c>
      <c r="I9" s="3448">
        <v>70601.06</v>
      </c>
      <c r="J9" s="3448">
        <v>285523</v>
      </c>
      <c r="K9" s="3448">
        <v>4.04</v>
      </c>
      <c r="L9" s="3448">
        <v>4.04</v>
      </c>
      <c r="M9" s="3448" t="s">
        <v>3514</v>
      </c>
      <c r="N9" s="3448" t="s">
        <v>3535</v>
      </c>
      <c r="O9" s="3448" t="s">
        <v>3536</v>
      </c>
      <c r="P9" s="3448" t="s">
        <v>3517</v>
      </c>
      <c r="Q9" s="3448" t="s">
        <v>3518</v>
      </c>
      <c r="R9" s="3448" t="s">
        <v>3518</v>
      </c>
      <c r="S9" s="3448" t="s">
        <v>3518</v>
      </c>
      <c r="T9" s="3448" t="s">
        <v>3518</v>
      </c>
      <c r="U9" s="3448" t="s">
        <v>3518</v>
      </c>
      <c r="V9" s="3448" t="s">
        <v>3518</v>
      </c>
      <c r="W9" s="3448" t="s">
        <v>3518</v>
      </c>
      <c r="X9" s="3448" t="s">
        <v>3518</v>
      </c>
      <c r="Y9" s="3448" t="s">
        <v>3518</v>
      </c>
      <c r="Z9" s="3448">
        <v>0</v>
      </c>
      <c r="AA9" s="3448">
        <v>0</v>
      </c>
      <c r="AB9" s="3449">
        <v>45279.000497685185</v>
      </c>
      <c r="AC9" s="3449">
        <v>45300.000497685185</v>
      </c>
      <c r="AD9" s="3449">
        <v>45314.000497685185</v>
      </c>
      <c r="AE9" s="3449">
        <v>45314.000497685185</v>
      </c>
      <c r="AF9" s="3448" t="s">
        <v>3537</v>
      </c>
      <c r="AG9" s="3448" t="s">
        <v>3521</v>
      </c>
      <c r="AH9" s="3448" t="s">
        <v>3538</v>
      </c>
      <c r="AI9" s="3448" t="s">
        <v>3539</v>
      </c>
      <c r="AJ9" s="3448" t="s">
        <v>3518</v>
      </c>
      <c r="AK9" s="3448" t="s">
        <v>3518</v>
      </c>
      <c r="AL9" s="3448">
        <v>642000</v>
      </c>
      <c r="AM9" s="3448">
        <v>129000</v>
      </c>
      <c r="AN9" s="3448" t="s">
        <v>3540</v>
      </c>
      <c r="AO9" s="3448">
        <v>642000</v>
      </c>
      <c r="AP9" s="3448">
        <v>90933.48</v>
      </c>
      <c r="AQ9" s="3448">
        <v>90933.48</v>
      </c>
      <c r="AR9" s="3448">
        <v>6062.23</v>
      </c>
      <c r="AS9" s="3448">
        <v>6062.23</v>
      </c>
      <c r="AT9" s="3448">
        <v>22485</v>
      </c>
      <c r="AU9" s="3448">
        <v>22485</v>
      </c>
      <c r="AV9" s="3448" t="s">
        <v>3518</v>
      </c>
      <c r="AW9" s="3448" t="s">
        <v>3518</v>
      </c>
      <c r="AX9" s="3448">
        <v>0</v>
      </c>
      <c r="AY9" s="3448" t="s">
        <v>3541</v>
      </c>
      <c r="AZ9" s="3448" t="s">
        <v>3518</v>
      </c>
      <c r="BA9" s="3448" t="s">
        <v>3518</v>
      </c>
      <c r="BB9" s="3448" t="s">
        <v>3518</v>
      </c>
      <c r="BC9" s="3448" t="s">
        <v>3518</v>
      </c>
      <c r="BD9" s="3448" t="s">
        <v>3518</v>
      </c>
      <c r="BE9" s="3448" t="s">
        <v>3518</v>
      </c>
      <c r="BF9" s="3448" t="s">
        <v>3518</v>
      </c>
      <c r="BG9" s="3448" t="s">
        <v>3528</v>
      </c>
      <c r="BH9" s="3448" t="s">
        <v>3529</v>
      </c>
      <c r="BI9" s="3448" t="s">
        <v>3530</v>
      </c>
    </row>
    <row r="10" spans="1:61">
      <c r="A10" s="3448" t="s">
        <v>3542</v>
      </c>
      <c r="B10" s="3448" t="s">
        <v>3361</v>
      </c>
      <c r="C10" s="3448" t="s">
        <v>3543</v>
      </c>
      <c r="D10" s="3448" t="s">
        <v>3508</v>
      </c>
      <c r="E10" s="3448" t="s">
        <v>3544</v>
      </c>
      <c r="F10" s="3448" t="s">
        <v>3510</v>
      </c>
      <c r="G10" s="3448" t="s">
        <v>3545</v>
      </c>
      <c r="H10" s="3448" t="s">
        <v>3512</v>
      </c>
      <c r="I10" s="3448">
        <v>32636.74</v>
      </c>
      <c r="J10" s="3448">
        <v>78328</v>
      </c>
      <c r="K10" s="3448">
        <v>2.4</v>
      </c>
      <c r="L10" s="3448">
        <v>2.4</v>
      </c>
      <c r="M10" s="3448" t="s">
        <v>3514</v>
      </c>
      <c r="N10" s="3448" t="s">
        <v>3546</v>
      </c>
      <c r="O10" s="3448" t="s">
        <v>3547</v>
      </c>
      <c r="P10" s="3448" t="s">
        <v>3517</v>
      </c>
      <c r="Q10" s="3448" t="s">
        <v>3518</v>
      </c>
      <c r="R10" s="3448" t="s">
        <v>3518</v>
      </c>
      <c r="S10" s="3448">
        <v>36</v>
      </c>
      <c r="T10" s="3448" t="s">
        <v>3518</v>
      </c>
      <c r="U10" s="3448" t="s">
        <v>3518</v>
      </c>
      <c r="V10" s="3448" t="s">
        <v>3518</v>
      </c>
      <c r="W10" s="3448" t="s">
        <v>3518</v>
      </c>
      <c r="X10" s="3448" t="s">
        <v>3518</v>
      </c>
      <c r="Y10" s="3448" t="s">
        <v>3518</v>
      </c>
      <c r="Z10" s="3448">
        <v>0</v>
      </c>
      <c r="AA10" s="3448">
        <v>0</v>
      </c>
      <c r="AB10" s="3449">
        <v>45274.000497685185</v>
      </c>
      <c r="AC10" s="3449">
        <v>45294.000497685185</v>
      </c>
      <c r="AD10" s="3449">
        <v>45308.000497685185</v>
      </c>
      <c r="AE10" s="3449">
        <v>45308.000497685185</v>
      </c>
      <c r="AF10" s="3448" t="s">
        <v>3548</v>
      </c>
      <c r="AG10" s="3448" t="s">
        <v>3521</v>
      </c>
      <c r="AH10" s="3448" t="s">
        <v>3549</v>
      </c>
      <c r="AI10" s="3448" t="s">
        <v>3550</v>
      </c>
      <c r="AJ10" s="3448" t="s">
        <v>3524</v>
      </c>
      <c r="AK10" s="3448" t="s">
        <v>3525</v>
      </c>
      <c r="AL10" s="3448">
        <v>65000</v>
      </c>
      <c r="AM10" s="3448">
        <v>13000</v>
      </c>
      <c r="AN10" s="3448" t="s">
        <v>3551</v>
      </c>
      <c r="AO10" s="3448">
        <v>65000</v>
      </c>
      <c r="AP10" s="3448">
        <v>19916.2</v>
      </c>
      <c r="AQ10" s="3448">
        <v>19916.2</v>
      </c>
      <c r="AR10" s="3448">
        <v>1327.75</v>
      </c>
      <c r="AS10" s="3448">
        <v>1327.75</v>
      </c>
      <c r="AT10" s="3448">
        <v>8298</v>
      </c>
      <c r="AU10" s="3448">
        <v>8298</v>
      </c>
      <c r="AV10" s="3448" t="s">
        <v>3518</v>
      </c>
      <c r="AW10" s="3448" t="s">
        <v>3518</v>
      </c>
      <c r="AX10" s="3448">
        <v>0</v>
      </c>
      <c r="AY10" s="3448">
        <v>20</v>
      </c>
      <c r="AZ10" s="3448" t="s">
        <v>3518</v>
      </c>
      <c r="BA10" s="3448" t="s">
        <v>3518</v>
      </c>
      <c r="BB10" s="3448" t="s">
        <v>3518</v>
      </c>
      <c r="BC10" s="3448" t="s">
        <v>3518</v>
      </c>
      <c r="BD10" s="3448" t="s">
        <v>3518</v>
      </c>
      <c r="BE10" s="3448" t="s">
        <v>3518</v>
      </c>
      <c r="BF10" s="3448" t="s">
        <v>3518</v>
      </c>
      <c r="BG10" s="3448" t="s">
        <v>3528</v>
      </c>
      <c r="BH10" s="3448" t="s">
        <v>3529</v>
      </c>
      <c r="BI10" s="3448" t="s">
        <v>3530</v>
      </c>
    </row>
    <row r="11" spans="1:61">
      <c r="A11" s="3448" t="s">
        <v>3552</v>
      </c>
      <c r="B11" s="3448" t="s">
        <v>3361</v>
      </c>
      <c r="C11" s="3448" t="s">
        <v>3553</v>
      </c>
      <c r="D11" s="3448" t="s">
        <v>3508</v>
      </c>
      <c r="E11" s="3448" t="s">
        <v>3544</v>
      </c>
      <c r="F11" s="3448" t="s">
        <v>3554</v>
      </c>
      <c r="G11" s="3448" t="s">
        <v>3545</v>
      </c>
      <c r="H11" s="3448" t="s">
        <v>3512</v>
      </c>
      <c r="I11" s="3448">
        <v>64012.4</v>
      </c>
      <c r="J11" s="3448">
        <v>192037.19</v>
      </c>
      <c r="K11" s="3448">
        <v>3</v>
      </c>
      <c r="L11" s="3448">
        <v>3</v>
      </c>
      <c r="M11" s="3448" t="s">
        <v>3514</v>
      </c>
      <c r="N11" s="3448" t="s">
        <v>3555</v>
      </c>
      <c r="O11" s="3448" t="s">
        <v>3547</v>
      </c>
      <c r="P11" s="3448" t="s">
        <v>3517</v>
      </c>
      <c r="Q11" s="3448" t="s">
        <v>3518</v>
      </c>
      <c r="R11" s="3448" t="s">
        <v>3518</v>
      </c>
      <c r="S11" s="3448" t="s">
        <v>3518</v>
      </c>
      <c r="T11" s="3448" t="s">
        <v>3518</v>
      </c>
      <c r="U11" s="3448" t="s">
        <v>3518</v>
      </c>
      <c r="V11" s="3448" t="s">
        <v>3518</v>
      </c>
      <c r="W11" s="3448" t="s">
        <v>3518</v>
      </c>
      <c r="X11" s="3448" t="s">
        <v>3518</v>
      </c>
      <c r="Y11" s="3448" t="s">
        <v>3518</v>
      </c>
      <c r="Z11" s="3448">
        <v>0</v>
      </c>
      <c r="AA11" s="3448">
        <v>0</v>
      </c>
      <c r="AB11" s="3449">
        <v>44896.000497685185</v>
      </c>
      <c r="AC11" s="3449">
        <v>44916.000497685185</v>
      </c>
      <c r="AD11" s="3449">
        <v>44931.000497685185</v>
      </c>
      <c r="AE11" s="3449">
        <v>44931.000497685185</v>
      </c>
      <c r="AF11" s="3448" t="s">
        <v>3556</v>
      </c>
      <c r="AG11" s="3448" t="s">
        <v>3521</v>
      </c>
      <c r="AH11" s="3448" t="s">
        <v>3557</v>
      </c>
      <c r="AI11" s="3448" t="s">
        <v>3558</v>
      </c>
      <c r="AJ11" s="3448" t="s">
        <v>3559</v>
      </c>
      <c r="AK11" s="3448" t="s">
        <v>3560</v>
      </c>
      <c r="AL11" s="3448">
        <v>177000</v>
      </c>
      <c r="AM11" s="3448">
        <v>36000</v>
      </c>
      <c r="AN11" s="3448" t="s">
        <v>3561</v>
      </c>
      <c r="AO11" s="3448">
        <v>177000</v>
      </c>
      <c r="AP11" s="3448">
        <v>27650.89</v>
      </c>
      <c r="AQ11" s="3448">
        <v>27650.89</v>
      </c>
      <c r="AR11" s="3448">
        <v>1843.39</v>
      </c>
      <c r="AS11" s="3448">
        <v>1843.39</v>
      </c>
      <c r="AT11" s="3448">
        <v>9217</v>
      </c>
      <c r="AU11" s="3448">
        <v>9217</v>
      </c>
      <c r="AV11" s="3448" t="s">
        <v>3518</v>
      </c>
      <c r="AW11" s="3448" t="s">
        <v>3518</v>
      </c>
      <c r="AX11" s="3448">
        <v>0</v>
      </c>
      <c r="AY11" s="3448" t="s">
        <v>3562</v>
      </c>
      <c r="AZ11" s="3448" t="s">
        <v>3518</v>
      </c>
      <c r="BA11" s="3448" t="s">
        <v>3518</v>
      </c>
      <c r="BB11" s="3448" t="s">
        <v>3518</v>
      </c>
      <c r="BC11" s="3448" t="s">
        <v>3518</v>
      </c>
      <c r="BD11" s="3448" t="s">
        <v>3518</v>
      </c>
      <c r="BE11" s="3448" t="s">
        <v>3518</v>
      </c>
      <c r="BF11" s="3448" t="s">
        <v>3518</v>
      </c>
      <c r="BG11" s="3448" t="s">
        <v>3528</v>
      </c>
      <c r="BH11" s="3448" t="s">
        <v>3529</v>
      </c>
      <c r="BI11" s="3448" t="s">
        <v>3530</v>
      </c>
    </row>
    <row r="12" spans="1:61">
      <c r="A12" s="3448" t="s">
        <v>3563</v>
      </c>
      <c r="B12" s="3448" t="s">
        <v>3361</v>
      </c>
      <c r="C12" s="3448" t="s">
        <v>3564</v>
      </c>
      <c r="D12" s="3448" t="s">
        <v>3508</v>
      </c>
      <c r="E12" s="3448" t="s">
        <v>3509</v>
      </c>
      <c r="F12" s="3448" t="s">
        <v>3533</v>
      </c>
      <c r="G12" s="3448" t="s">
        <v>3565</v>
      </c>
      <c r="H12" s="3448" t="s">
        <v>3512</v>
      </c>
      <c r="I12" s="3448">
        <v>70601.070000000007</v>
      </c>
      <c r="J12" s="3448">
        <v>285523</v>
      </c>
      <c r="K12" s="3448" t="s">
        <v>3566</v>
      </c>
      <c r="L12" s="3448">
        <v>4.04</v>
      </c>
      <c r="M12" s="3448" t="s">
        <v>3567</v>
      </c>
      <c r="N12" s="3448" t="s">
        <v>3535</v>
      </c>
      <c r="O12" s="3448" t="s">
        <v>3536</v>
      </c>
      <c r="P12" s="3448" t="s">
        <v>3517</v>
      </c>
      <c r="Q12" s="3448" t="s">
        <v>3518</v>
      </c>
      <c r="R12" s="3448" t="s">
        <v>3518</v>
      </c>
      <c r="S12" s="3448" t="s">
        <v>3518</v>
      </c>
      <c r="T12" s="3448" t="s">
        <v>3518</v>
      </c>
      <c r="U12" s="3448" t="s">
        <v>3518</v>
      </c>
      <c r="V12" s="3448" t="s">
        <v>3518</v>
      </c>
      <c r="W12" s="3448" t="s">
        <v>3518</v>
      </c>
      <c r="X12" s="3448">
        <v>0</v>
      </c>
      <c r="Y12" s="3448">
        <v>0</v>
      </c>
      <c r="Z12" s="3448">
        <v>0</v>
      </c>
      <c r="AA12" s="3448">
        <v>0</v>
      </c>
      <c r="AB12" s="3449">
        <v>43770.000497685185</v>
      </c>
      <c r="AC12" s="3449">
        <v>43798.000497685185</v>
      </c>
      <c r="AD12" s="3449">
        <v>43801.000497685185</v>
      </c>
      <c r="AE12" s="3449">
        <v>43801.000497685185</v>
      </c>
      <c r="AF12" s="3448" t="s">
        <v>3568</v>
      </c>
      <c r="AG12" s="3448" t="s">
        <v>3521</v>
      </c>
      <c r="AH12" s="3448" t="s">
        <v>3569</v>
      </c>
      <c r="AI12" s="3448" t="s">
        <v>3570</v>
      </c>
      <c r="AJ12" s="3448" t="s">
        <v>3571</v>
      </c>
      <c r="AK12" s="3448" t="s">
        <v>3518</v>
      </c>
      <c r="AL12" s="3448" t="s">
        <v>3518</v>
      </c>
      <c r="AM12" s="3448">
        <v>131000</v>
      </c>
      <c r="AN12" s="3448" t="s">
        <v>633</v>
      </c>
      <c r="AO12" s="3448">
        <v>660900</v>
      </c>
      <c r="AP12" s="3448" t="s">
        <v>3518</v>
      </c>
      <c r="AQ12" s="3448">
        <v>93610.48</v>
      </c>
      <c r="AR12" s="3448" t="s">
        <v>3518</v>
      </c>
      <c r="AS12" s="3448">
        <v>6240.7</v>
      </c>
      <c r="AT12" s="3448" t="s">
        <v>3518</v>
      </c>
      <c r="AU12" s="3448">
        <v>23147</v>
      </c>
      <c r="AV12" s="3448" t="s">
        <v>3518</v>
      </c>
      <c r="AW12" s="3448" t="s">
        <v>3518</v>
      </c>
      <c r="AX12" s="3448">
        <v>0</v>
      </c>
      <c r="AY12" s="3448" t="s">
        <v>3572</v>
      </c>
      <c r="AZ12" s="3448" t="s">
        <v>3518</v>
      </c>
      <c r="BA12" s="3448" t="s">
        <v>3518</v>
      </c>
      <c r="BB12" s="3448" t="s">
        <v>3518</v>
      </c>
      <c r="BC12" s="3448" t="s">
        <v>3518</v>
      </c>
      <c r="BD12" s="3448" t="s">
        <v>3518</v>
      </c>
      <c r="BE12" s="3448" t="s">
        <v>3518</v>
      </c>
      <c r="BF12" s="3448" t="s">
        <v>3518</v>
      </c>
      <c r="BG12" s="3448" t="s">
        <v>3573</v>
      </c>
      <c r="BH12" s="3448" t="s">
        <v>3529</v>
      </c>
      <c r="BI12" s="3448" t="s">
        <v>3530</v>
      </c>
    </row>
    <row r="13" spans="1:61">
      <c r="A13" s="3448" t="s">
        <v>3574</v>
      </c>
      <c r="B13" s="3448" t="s">
        <v>3361</v>
      </c>
      <c r="C13" s="3448" t="s">
        <v>3575</v>
      </c>
      <c r="D13" s="3448" t="s">
        <v>3508</v>
      </c>
      <c r="E13" s="3448" t="s">
        <v>3576</v>
      </c>
      <c r="F13" s="3448" t="s">
        <v>3577</v>
      </c>
      <c r="G13" s="3448" t="s">
        <v>3578</v>
      </c>
      <c r="H13" s="3448" t="s">
        <v>3512</v>
      </c>
      <c r="I13" s="3448">
        <v>138746.29999999999</v>
      </c>
      <c r="J13" s="3448">
        <v>486596</v>
      </c>
      <c r="K13" s="3448">
        <v>3.51</v>
      </c>
      <c r="L13" s="3448">
        <v>3.51</v>
      </c>
      <c r="M13" s="3448" t="s">
        <v>3514</v>
      </c>
      <c r="N13" s="3448" t="s">
        <v>3535</v>
      </c>
      <c r="O13" s="3448" t="s">
        <v>3579</v>
      </c>
      <c r="P13" s="3448" t="s">
        <v>3517</v>
      </c>
      <c r="Q13" s="3448" t="s">
        <v>3518</v>
      </c>
      <c r="R13" s="3448" t="s">
        <v>3518</v>
      </c>
      <c r="S13" s="3448" t="s">
        <v>3580</v>
      </c>
      <c r="T13" s="3448" t="s">
        <v>3518</v>
      </c>
      <c r="U13" s="3448" t="s">
        <v>3518</v>
      </c>
      <c r="V13" s="3448" t="s">
        <v>3518</v>
      </c>
      <c r="W13" s="3448" t="s">
        <v>3518</v>
      </c>
      <c r="X13" s="3448">
        <v>0</v>
      </c>
      <c r="Y13" s="3448">
        <v>0</v>
      </c>
      <c r="Z13" s="3448">
        <v>0</v>
      </c>
      <c r="AA13" s="3448">
        <v>0</v>
      </c>
      <c r="AB13" s="3449">
        <v>43373.000497685185</v>
      </c>
      <c r="AC13" s="3449">
        <v>43395.000497685185</v>
      </c>
      <c r="AD13" s="3449">
        <v>43409.000497685185</v>
      </c>
      <c r="AE13" s="3449">
        <v>43409.000497685185</v>
      </c>
      <c r="AF13" s="3448" t="s">
        <v>3581</v>
      </c>
      <c r="AG13" s="3448" t="s">
        <v>3521</v>
      </c>
      <c r="AH13" s="3448" t="s">
        <v>3582</v>
      </c>
      <c r="AI13" s="3448" t="s">
        <v>3583</v>
      </c>
      <c r="AJ13" s="3448" t="s">
        <v>3524</v>
      </c>
      <c r="AK13" s="3448" t="s">
        <v>3518</v>
      </c>
      <c r="AL13" s="3448">
        <v>866300</v>
      </c>
      <c r="AM13" s="3448">
        <v>174000</v>
      </c>
      <c r="AN13" s="3448" t="s">
        <v>633</v>
      </c>
      <c r="AO13" s="3448">
        <v>866300</v>
      </c>
      <c r="AP13" s="3448">
        <v>62437.7</v>
      </c>
      <c r="AQ13" s="3448">
        <v>62437.7</v>
      </c>
      <c r="AR13" s="3448">
        <v>4162.51</v>
      </c>
      <c r="AS13" s="3448">
        <v>4162.51</v>
      </c>
      <c r="AT13" s="3448">
        <v>17803</v>
      </c>
      <c r="AU13" s="3448">
        <v>17803</v>
      </c>
      <c r="AV13" s="3448" t="s">
        <v>3518</v>
      </c>
      <c r="AW13" s="3448" t="s">
        <v>3518</v>
      </c>
      <c r="AX13" s="3448">
        <v>0</v>
      </c>
      <c r="AY13" s="3448" t="s">
        <v>3572</v>
      </c>
      <c r="AZ13" s="3448" t="s">
        <v>3518</v>
      </c>
      <c r="BA13" s="3448" t="s">
        <v>3518</v>
      </c>
      <c r="BB13" s="3448" t="s">
        <v>3518</v>
      </c>
      <c r="BC13" s="3448" t="s">
        <v>3518</v>
      </c>
      <c r="BD13" s="3448" t="s">
        <v>3518</v>
      </c>
      <c r="BE13" s="3448" t="s">
        <v>3518</v>
      </c>
      <c r="BF13" s="3448">
        <v>0</v>
      </c>
      <c r="BG13" s="3448" t="s">
        <v>3573</v>
      </c>
      <c r="BH13" s="3448" t="s">
        <v>3529</v>
      </c>
      <c r="BI13" s="3448" t="s">
        <v>3530</v>
      </c>
    </row>
    <row r="14" spans="1:61">
      <c r="A14" s="3448" t="s">
        <v>3584</v>
      </c>
      <c r="B14" s="3448" t="s">
        <v>3361</v>
      </c>
      <c r="C14" s="3448" t="s">
        <v>3585</v>
      </c>
      <c r="D14" s="3448" t="s">
        <v>3508</v>
      </c>
      <c r="E14" s="3448" t="s">
        <v>3544</v>
      </c>
      <c r="F14" s="3448" t="s">
        <v>3510</v>
      </c>
      <c r="G14" s="3448" t="s">
        <v>3586</v>
      </c>
      <c r="H14" s="3448" t="s">
        <v>3512</v>
      </c>
      <c r="I14" s="3448">
        <v>59747.77</v>
      </c>
      <c r="J14" s="3448">
        <v>89622</v>
      </c>
      <c r="K14" s="3448">
        <v>1.5</v>
      </c>
      <c r="L14" s="3448">
        <v>1.5</v>
      </c>
      <c r="M14" s="3448" t="s">
        <v>3514</v>
      </c>
      <c r="N14" s="3448" t="s">
        <v>3555</v>
      </c>
      <c r="O14" s="3448" t="s">
        <v>3547</v>
      </c>
      <c r="P14" s="3448" t="s">
        <v>3517</v>
      </c>
      <c r="Q14" s="3448" t="s">
        <v>3518</v>
      </c>
      <c r="R14" s="3448" t="s">
        <v>3587</v>
      </c>
      <c r="S14" s="3448" t="s">
        <v>3588</v>
      </c>
      <c r="T14" s="3448" t="s">
        <v>3518</v>
      </c>
      <c r="U14" s="3448" t="s">
        <v>3518</v>
      </c>
      <c r="V14" s="3448" t="s">
        <v>3518</v>
      </c>
      <c r="W14" s="3448" t="s">
        <v>3518</v>
      </c>
      <c r="X14" s="3448">
        <v>0</v>
      </c>
      <c r="Y14" s="3448">
        <v>0</v>
      </c>
      <c r="Z14" s="3448">
        <v>0</v>
      </c>
      <c r="AA14" s="3448">
        <v>0</v>
      </c>
      <c r="AB14" s="3449">
        <v>43069.000497685185</v>
      </c>
      <c r="AC14" s="3449">
        <v>43094.000497685185</v>
      </c>
      <c r="AD14" s="3449">
        <v>43109.000497685185</v>
      </c>
      <c r="AE14" s="3449">
        <v>43109.000497685185</v>
      </c>
      <c r="AF14" s="3448" t="s">
        <v>3589</v>
      </c>
      <c r="AG14" s="3448" t="s">
        <v>3521</v>
      </c>
      <c r="AH14" s="3448" t="s">
        <v>3590</v>
      </c>
      <c r="AI14" s="3448" t="s">
        <v>3550</v>
      </c>
      <c r="AJ14" s="3448" t="s">
        <v>3524</v>
      </c>
      <c r="AK14" s="3448" t="s">
        <v>3525</v>
      </c>
      <c r="AL14" s="3448">
        <v>146800</v>
      </c>
      <c r="AM14" s="3448">
        <v>44000</v>
      </c>
      <c r="AN14" s="3448" t="s">
        <v>633</v>
      </c>
      <c r="AO14" s="3448">
        <v>146800</v>
      </c>
      <c r="AP14" s="3448">
        <v>24569.95</v>
      </c>
      <c r="AQ14" s="3448">
        <v>24569.95</v>
      </c>
      <c r="AR14" s="3448">
        <v>1638</v>
      </c>
      <c r="AS14" s="3448">
        <v>1638</v>
      </c>
      <c r="AT14" s="3448">
        <v>16380</v>
      </c>
      <c r="AU14" s="3448">
        <v>16380</v>
      </c>
      <c r="AV14" s="3448" t="s">
        <v>3518</v>
      </c>
      <c r="AW14" s="3448" t="s">
        <v>3518</v>
      </c>
      <c r="AX14" s="3448">
        <v>0</v>
      </c>
      <c r="AY14" s="3448" t="s">
        <v>3591</v>
      </c>
      <c r="AZ14" s="3448" t="s">
        <v>3518</v>
      </c>
      <c r="BA14" s="3448" t="s">
        <v>3518</v>
      </c>
      <c r="BB14" s="3448" t="s">
        <v>3518</v>
      </c>
      <c r="BC14" s="3448" t="s">
        <v>3518</v>
      </c>
      <c r="BD14" s="3448" t="s">
        <v>3518</v>
      </c>
      <c r="BE14" s="3448" t="s">
        <v>3518</v>
      </c>
      <c r="BF14" s="3448">
        <v>0</v>
      </c>
      <c r="BG14" s="3448" t="s">
        <v>3573</v>
      </c>
      <c r="BH14" s="3448" t="s">
        <v>3529</v>
      </c>
      <c r="BI14" s="3448" t="s">
        <v>3530</v>
      </c>
    </row>
    <row r="15" spans="1:61">
      <c r="A15" s="3448" t="s">
        <v>3592</v>
      </c>
      <c r="B15" s="3448" t="s">
        <v>3361</v>
      </c>
      <c r="C15" s="3448" t="s">
        <v>3593</v>
      </c>
      <c r="D15" s="3448" t="s">
        <v>3508</v>
      </c>
      <c r="E15" s="3448" t="s">
        <v>3544</v>
      </c>
      <c r="F15" s="3448" t="s">
        <v>3510</v>
      </c>
      <c r="G15" s="3448" t="s">
        <v>3586</v>
      </c>
      <c r="H15" s="3448" t="s">
        <v>3512</v>
      </c>
      <c r="I15" s="3448">
        <v>31420.65</v>
      </c>
      <c r="J15" s="3448">
        <v>65983</v>
      </c>
      <c r="K15" s="3448">
        <v>2.1</v>
      </c>
      <c r="L15" s="3448">
        <v>2.1</v>
      </c>
      <c r="M15" s="3448" t="s">
        <v>3514</v>
      </c>
      <c r="N15" s="3448" t="s">
        <v>3555</v>
      </c>
      <c r="O15" s="3448" t="s">
        <v>3547</v>
      </c>
      <c r="P15" s="3448" t="s">
        <v>3517</v>
      </c>
      <c r="Q15" s="3448" t="s">
        <v>3518</v>
      </c>
      <c r="R15" s="3448" t="s">
        <v>3587</v>
      </c>
      <c r="S15" s="3448" t="s">
        <v>3594</v>
      </c>
      <c r="T15" s="3448" t="s">
        <v>3518</v>
      </c>
      <c r="U15" s="3448" t="s">
        <v>3518</v>
      </c>
      <c r="V15" s="3448" t="s">
        <v>3518</v>
      </c>
      <c r="W15" s="3448" t="s">
        <v>3518</v>
      </c>
      <c r="X15" s="3448">
        <v>0</v>
      </c>
      <c r="Y15" s="3448">
        <v>0</v>
      </c>
      <c r="Z15" s="3448">
        <v>0</v>
      </c>
      <c r="AA15" s="3448">
        <v>0</v>
      </c>
      <c r="AB15" s="3449">
        <v>43069.000497685185</v>
      </c>
      <c r="AC15" s="3449">
        <v>43094.000497685185</v>
      </c>
      <c r="AD15" s="3449">
        <v>43109.000497685185</v>
      </c>
      <c r="AE15" s="3449">
        <v>43109.000497685185</v>
      </c>
      <c r="AF15" s="3448" t="s">
        <v>3595</v>
      </c>
      <c r="AG15" s="3448" t="s">
        <v>3521</v>
      </c>
      <c r="AH15" s="3448" t="s">
        <v>3596</v>
      </c>
      <c r="AI15" s="3448" t="s">
        <v>3558</v>
      </c>
      <c r="AJ15" s="3448" t="s">
        <v>3559</v>
      </c>
      <c r="AK15" s="3448" t="s">
        <v>3560</v>
      </c>
      <c r="AL15" s="3448">
        <v>108100</v>
      </c>
      <c r="AM15" s="3448">
        <v>33000</v>
      </c>
      <c r="AN15" s="3448" t="s">
        <v>633</v>
      </c>
      <c r="AO15" s="3448">
        <v>108100</v>
      </c>
      <c r="AP15" s="3448">
        <v>34404.120000000003</v>
      </c>
      <c r="AQ15" s="3448">
        <v>34404.120000000003</v>
      </c>
      <c r="AR15" s="3448">
        <v>2293.61</v>
      </c>
      <c r="AS15" s="3448">
        <v>2293.61</v>
      </c>
      <c r="AT15" s="3448">
        <v>16383</v>
      </c>
      <c r="AU15" s="3448">
        <v>16383</v>
      </c>
      <c r="AV15" s="3448" t="s">
        <v>3518</v>
      </c>
      <c r="AW15" s="3448" t="s">
        <v>3518</v>
      </c>
      <c r="AX15" s="3448">
        <v>0</v>
      </c>
      <c r="AY15" s="3448" t="s">
        <v>3591</v>
      </c>
      <c r="AZ15" s="3448" t="s">
        <v>3518</v>
      </c>
      <c r="BA15" s="3448" t="s">
        <v>3518</v>
      </c>
      <c r="BB15" s="3448" t="s">
        <v>3518</v>
      </c>
      <c r="BC15" s="3448" t="s">
        <v>3518</v>
      </c>
      <c r="BD15" s="3448" t="s">
        <v>3518</v>
      </c>
      <c r="BE15" s="3448" t="s">
        <v>3518</v>
      </c>
      <c r="BF15" s="3448">
        <v>0</v>
      </c>
      <c r="BG15" s="3448" t="s">
        <v>3573</v>
      </c>
      <c r="BH15" s="3448" t="s">
        <v>3529</v>
      </c>
      <c r="BI15" s="3448" t="s">
        <v>3530</v>
      </c>
    </row>
    <row r="19" spans="41:45">
      <c r="AO19" s="3448" t="s">
        <v>3597</v>
      </c>
      <c r="AQ19" s="3448">
        <f>常用公式!F12</f>
        <v>0.58540000000000003</v>
      </c>
      <c r="AS19" s="3474">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97" t="s">
        <v>2065</v>
      </c>
      <c r="D1" s="3798"/>
      <c r="E1" s="3798"/>
      <c r="F1" s="3798"/>
      <c r="G1" s="3798"/>
      <c r="H1" s="3798"/>
      <c r="I1" s="3798"/>
      <c r="J1" s="3798"/>
      <c r="K1" s="3798"/>
      <c r="L1" s="3798"/>
      <c r="M1" s="3798"/>
      <c r="N1" s="3798"/>
      <c r="O1" s="3798"/>
      <c r="P1" s="3798"/>
      <c r="Q1" s="3798"/>
      <c r="R1" s="3798"/>
      <c r="S1" s="3799"/>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94" t="s">
        <v>27</v>
      </c>
      <c r="D22" s="3795"/>
      <c r="E22" s="3795"/>
      <c r="F22" s="3795"/>
      <c r="G22" s="3795"/>
      <c r="H22" s="3795"/>
      <c r="I22" s="3795"/>
      <c r="J22" s="3795"/>
      <c r="K22" s="3795"/>
      <c r="L22" s="3795"/>
      <c r="M22" s="3795"/>
      <c r="N22" s="3795"/>
      <c r="O22" s="3795"/>
      <c r="P22" s="3795"/>
      <c r="Q22" s="3796"/>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2143</v>
      </c>
      <c r="C2" s="2144" t="s">
        <v>2055</v>
      </c>
      <c r="D2" s="2144" t="s">
        <v>2056</v>
      </c>
      <c r="E2" s="2586">
        <f ca="1">SUMIF(E6:E13,"&lt;&gt;#ref!",E6:E13)</f>
        <v>17559.11</v>
      </c>
      <c r="F2" s="2767"/>
      <c r="G2" s="2767"/>
      <c r="H2" s="2767"/>
      <c r="I2" s="2767"/>
      <c r="J2" s="2767"/>
      <c r="K2" s="2767"/>
      <c r="L2" s="2767"/>
      <c r="M2" s="2767"/>
      <c r="N2" s="2767"/>
      <c r="O2" s="2767"/>
      <c r="P2" s="2767"/>
    </row>
    <row r="3" spans="1:16" ht="15.75">
      <c r="A3" s="2144" t="s">
        <v>2057</v>
      </c>
      <c r="B3" s="2576">
        <f ca="1">ROUND(B2*10000/E2,0)</f>
        <v>1220</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2143</v>
      </c>
      <c r="C6" s="2144" t="s">
        <v>2055</v>
      </c>
      <c r="D6" s="2767"/>
      <c r="E6" s="2586">
        <f ca="1">SUMIF(INDIRECT("'"&amp;A6&amp;"'"&amp;"!C:C"),"建筑面积",INDIRECT("'"&amp;A6&amp;"'"&amp;"!D:D"))</f>
        <v>17559.11</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topLeftCell="A16" zoomScale="90" zoomScaleNormal="70" zoomScaleSheetLayoutView="90" workbookViewId="0">
      <selection activeCell="C43" sqref="C4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3429</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15271</v>
      </c>
      <c r="C2" s="1386" t="s">
        <v>805</v>
      </c>
      <c r="D2" s="1386"/>
      <c r="E2" s="1387"/>
      <c r="F2" s="1388"/>
      <c r="G2" s="2680"/>
      <c r="H2" s="2669"/>
      <c r="I2" s="2669"/>
      <c r="J2" s="2669"/>
      <c r="K2" s="2670"/>
      <c r="L2" s="2669"/>
      <c r="M2" s="2669"/>
    </row>
    <row r="3" spans="1:37" ht="18" customHeight="1" thickBot="1">
      <c r="A3" s="1389" t="s">
        <v>806</v>
      </c>
      <c r="B3" s="1390">
        <f ca="1">IF(ISERROR(B2*10000/F43),0,ROUND(B2*10000/F43,0))</f>
        <v>8697</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1091</v>
      </c>
      <c r="D5" s="1363" t="s">
        <v>693</v>
      </c>
      <c r="E5" s="1071"/>
      <c r="F5" s="1072"/>
      <c r="G5" s="1383"/>
      <c r="H5" s="299">
        <v>1</v>
      </c>
      <c r="I5" s="300" t="s">
        <v>692</v>
      </c>
      <c r="J5" s="1070">
        <f ca="1">J6+J10+J12</f>
        <v>0</v>
      </c>
      <c r="K5" s="1363" t="s">
        <v>693</v>
      </c>
      <c r="L5" s="1071"/>
      <c r="M5" s="1072"/>
    </row>
    <row r="6" spans="1:37" ht="18" customHeight="1">
      <c r="A6" s="1069" t="s">
        <v>398</v>
      </c>
      <c r="B6" s="3678" t="s">
        <v>694</v>
      </c>
      <c r="C6" s="1074">
        <f ca="1">ROUND(F6*F8*F7*(1-F9)/10000,0)</f>
        <v>1090</v>
      </c>
      <c r="D6" s="155" t="s">
        <v>2090</v>
      </c>
      <c r="E6" s="302" t="s">
        <v>696</v>
      </c>
      <c r="F6" s="303">
        <f ca="1">INDIRECT("'数据-取费表'!u"&amp;$G$1)</f>
        <v>2</v>
      </c>
      <c r="G6" s="1383"/>
      <c r="H6" s="1069" t="s">
        <v>398</v>
      </c>
      <c r="I6" s="3678" t="s">
        <v>694</v>
      </c>
      <c r="J6" s="301">
        <f ca="1">ROUND(M6*M8*M7*(1-M9)/10000,0)</f>
        <v>0</v>
      </c>
      <c r="K6" s="155" t="s">
        <v>2089</v>
      </c>
      <c r="L6" s="302" t="s">
        <v>696</v>
      </c>
      <c r="M6" s="303">
        <f ca="1">INDIRECT("'数据-取费表'!z"&amp;$G$1)</f>
        <v>0</v>
      </c>
    </row>
    <row r="7" spans="1:37" ht="18" customHeight="1">
      <c r="A7" s="1073"/>
      <c r="B7" s="3679"/>
      <c r="C7" s="1075"/>
      <c r="D7" s="307"/>
      <c r="E7" s="1076" t="s">
        <v>697</v>
      </c>
      <c r="F7" s="303">
        <f ca="1">IF(INDIRECT("'数据-取费表'!ah"&amp;$G$1)="",INDIRECT("'数据-取费表'!k"&amp;$G$1),INDIRECT("'数据-取费表'!ah"&amp;$G$1))</f>
        <v>17559.11</v>
      </c>
      <c r="G7" s="1383"/>
      <c r="H7" s="304"/>
      <c r="I7" s="3679"/>
      <c r="J7" s="306"/>
      <c r="K7" s="307"/>
      <c r="L7" s="302" t="s">
        <v>697</v>
      </c>
      <c r="M7" s="303">
        <f ca="1">F7</f>
        <v>17559.11</v>
      </c>
    </row>
    <row r="8" spans="1:37" ht="18" customHeight="1">
      <c r="A8" s="304"/>
      <c r="B8" s="3679"/>
      <c r="C8" s="306"/>
      <c r="D8" s="307"/>
      <c r="E8" s="302" t="s">
        <v>698</v>
      </c>
      <c r="F8" s="303">
        <f ca="1">INDIRECT("'数据-取费表'!ai"&amp;$G$1)</f>
        <v>365</v>
      </c>
      <c r="G8" s="1383"/>
      <c r="H8" s="304"/>
      <c r="I8" s="3679"/>
      <c r="J8" s="306"/>
      <c r="K8" s="307"/>
      <c r="L8" s="302" t="s">
        <v>698</v>
      </c>
      <c r="M8" s="303">
        <f ca="1">INDIRECT("'数据-取费表'!ai"&amp;$G$1)</f>
        <v>365</v>
      </c>
    </row>
    <row r="9" spans="1:37" ht="18" customHeight="1">
      <c r="A9" s="304"/>
      <c r="B9" s="3680"/>
      <c r="C9" s="306"/>
      <c r="D9" s="307"/>
      <c r="E9" s="302" t="s">
        <v>699</v>
      </c>
      <c r="F9" s="312">
        <f ca="1">INDIRECT("'数据-取费表'!w"&amp;$G$1)</f>
        <v>0.15</v>
      </c>
      <c r="G9" s="1383"/>
      <c r="H9" s="304"/>
      <c r="I9" s="3680"/>
      <c r="J9" s="306"/>
      <c r="K9" s="307"/>
      <c r="L9" s="313" t="s">
        <v>699</v>
      </c>
      <c r="M9" s="314">
        <f ca="1">INDIRECT("'数据-取费表'!ab"&amp;$G$1)</f>
        <v>0</v>
      </c>
    </row>
    <row r="10" spans="1:37" ht="18" customHeight="1">
      <c r="A10" s="1069" t="s">
        <v>402</v>
      </c>
      <c r="B10" s="1364" t="s">
        <v>700</v>
      </c>
      <c r="C10" s="316">
        <f ca="1">ROUND(IF(F10="押一",C6/12*F11,IF(F10="押二",C6/12*2*F11,IF(F10="押三",C6/12*3*F11,C11*F11))),0)</f>
        <v>1</v>
      </c>
      <c r="D10" s="1365" t="s">
        <v>2098</v>
      </c>
      <c r="E10" s="313" t="s">
        <v>701</v>
      </c>
      <c r="F10" s="1116" t="s">
        <v>3624</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10650</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8780</v>
      </c>
      <c r="D14" s="1344" t="s">
        <v>708</v>
      </c>
      <c r="E14" s="1341"/>
      <c r="F14" s="319"/>
      <c r="G14" s="1383"/>
      <c r="H14" s="982" t="s">
        <v>398</v>
      </c>
      <c r="I14" s="302" t="s">
        <v>709</v>
      </c>
      <c r="J14" s="21">
        <f ca="1">C29</f>
        <v>12241</v>
      </c>
      <c r="K14" s="12"/>
      <c r="L14" s="807"/>
      <c r="M14" s="808"/>
    </row>
    <row r="15" spans="1:37" s="1396" customFormat="1" ht="18" customHeight="1" thickBot="1">
      <c r="A15" s="982" t="s">
        <v>399</v>
      </c>
      <c r="B15" s="302" t="s">
        <v>710</v>
      </c>
      <c r="C15" s="21">
        <f ca="1">ROUND(C14*F15,0)</f>
        <v>263</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64</v>
      </c>
      <c r="K16" s="1087" t="s">
        <v>715</v>
      </c>
      <c r="L16" s="1088"/>
      <c r="M16" s="1072"/>
    </row>
    <row r="17" spans="1:37" s="1396" customFormat="1" ht="18" customHeight="1">
      <c r="A17" s="982" t="s">
        <v>681</v>
      </c>
      <c r="B17" s="302" t="s">
        <v>716</v>
      </c>
      <c r="C17" s="21">
        <f ca="1">ROUND(F17*(F43+INDIRECT("'数据-取费表'!S"&amp;$G$1))/10000,0)</f>
        <v>351</v>
      </c>
      <c r="D17" s="302" t="s">
        <v>717</v>
      </c>
      <c r="E17" s="302" t="s">
        <v>718</v>
      </c>
      <c r="F17" s="23">
        <f>'数据-取费表'!B35</f>
        <v>200</v>
      </c>
      <c r="G17" s="1395"/>
      <c r="H17" s="982" t="s">
        <v>398</v>
      </c>
      <c r="I17" s="302" t="s">
        <v>719</v>
      </c>
      <c r="J17" s="2315">
        <f ca="1">ROUND(IF(AND(项目基本情况!B11="自然人",项目基本情况!B10="北京市"),J6*M17/(1+'数据-取费表'!C42),J18+J19+J20),2)</f>
        <v>2.35</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176</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9570</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287</v>
      </c>
      <c r="D20" s="323" t="s">
        <v>729</v>
      </c>
      <c r="E20" s="302" t="s">
        <v>712</v>
      </c>
      <c r="F20" s="322">
        <f>'数据-取费表'!B37</f>
        <v>0.03</v>
      </c>
      <c r="G20" s="1395"/>
      <c r="H20" s="982" t="s">
        <v>680</v>
      </c>
      <c r="I20" s="155" t="s">
        <v>730</v>
      </c>
      <c r="J20" s="22">
        <f ca="1">ROUND(M20*M21/10000,2)</f>
        <v>2.35</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15637.42</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61.21</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340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-64</v>
      </c>
      <c r="K25" s="1095" t="s">
        <v>753</v>
      </c>
      <c r="L25" s="1096"/>
      <c r="M25" s="1097"/>
    </row>
    <row r="26" spans="1:37">
      <c r="A26" s="982" t="s">
        <v>397</v>
      </c>
      <c r="B26" s="302" t="s">
        <v>754</v>
      </c>
      <c r="C26" s="21">
        <f ca="1">ROUND((C19+C20)*F26,0)</f>
        <v>986</v>
      </c>
      <c r="D26" s="323" t="s">
        <v>755</v>
      </c>
      <c r="E26" s="313" t="s">
        <v>756</v>
      </c>
      <c r="F26" s="312">
        <f ca="1">INDIRECT("'数据-取费表'!q"&amp;$G$1)</f>
        <v>0.1</v>
      </c>
      <c r="G26" s="1383"/>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12241</v>
      </c>
      <c r="D29" s="1092"/>
      <c r="E29" s="1090"/>
      <c r="F29" s="1093"/>
      <c r="G29" s="1395"/>
      <c r="H29" s="334" t="s">
        <v>396</v>
      </c>
      <c r="I29" s="335" t="s">
        <v>768</v>
      </c>
      <c r="J29" s="336">
        <f ca="1">ROUND(J26/(1+F40)^F41,0)</f>
        <v>0</v>
      </c>
      <c r="K29" s="337" t="s">
        <v>769</v>
      </c>
      <c r="L29" s="338"/>
      <c r="M29" s="339">
        <f ca="1">INDIRECT("'数据-取费表'!k"&amp;$G$1)</f>
        <v>17559.11</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261</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184.02</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57.1</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124.57</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2.35</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15637.42</v>
      </c>
      <c r="G35" s="1383"/>
      <c r="H35" s="2671"/>
      <c r="I35" s="1397"/>
      <c r="J35" s="1398"/>
      <c r="K35" s="2675"/>
      <c r="L35" s="2674"/>
      <c r="M35" s="2674"/>
    </row>
    <row r="36" spans="1:18" ht="18" customHeight="1">
      <c r="A36" s="1102" t="s">
        <v>402</v>
      </c>
      <c r="B36" s="302" t="s">
        <v>738</v>
      </c>
      <c r="C36" s="21">
        <f ca="1">ROUND(C29*F36,2)</f>
        <v>61.21</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10.65</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5.46</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830</v>
      </c>
      <c r="D39" s="1095" t="s">
        <v>773</v>
      </c>
      <c r="E39" s="1096"/>
      <c r="F39" s="1097"/>
      <c r="G39" s="1383"/>
      <c r="H39" s="2674">
        <f ca="1">C39/C5</f>
        <v>0.76076993583868013</v>
      </c>
      <c r="I39" s="1397"/>
      <c r="J39" s="1398"/>
      <c r="K39" s="2678"/>
      <c r="L39" s="2674"/>
      <c r="M39" s="2674"/>
    </row>
    <row r="40" spans="1:18" ht="18" customHeight="1">
      <c r="A40" s="299" t="s">
        <v>395</v>
      </c>
      <c r="B40" s="300" t="s">
        <v>774</v>
      </c>
      <c r="C40" s="301">
        <f ca="1">ROUND(C39*(1-((1+F42)/(1+F40))^F41)/(F40-F42),0)</f>
        <v>14648</v>
      </c>
      <c r="D40" s="324" t="s">
        <v>758</v>
      </c>
      <c r="E40" s="302" t="s">
        <v>759</v>
      </c>
      <c r="F40" s="312">
        <f ca="1">INDIRECT("'数据-取费表'!I"&amp;$G$1)</f>
        <v>5.5E-2</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0.02</v>
      </c>
      <c r="G42" s="1383"/>
      <c r="H42" s="1190"/>
      <c r="I42" s="1397"/>
      <c r="J42" s="1398"/>
      <c r="K42" s="2518"/>
      <c r="L42" s="1190"/>
      <c r="M42" s="1190"/>
    </row>
    <row r="43" spans="1:18" ht="18" customHeight="1" thickBot="1">
      <c r="A43" s="334" t="s">
        <v>396</v>
      </c>
      <c r="B43" s="335" t="s">
        <v>776</v>
      </c>
      <c r="C43" s="336">
        <f ca="1">ROUND(C40*10000/F43,0)</f>
        <v>8342</v>
      </c>
      <c r="D43" s="337" t="s">
        <v>777</v>
      </c>
      <c r="E43" s="338" t="s">
        <v>778</v>
      </c>
      <c r="F43" s="339">
        <f ca="1">INDIRECT("'数据-取费表'!k"&amp;$G$1)</f>
        <v>17559.11</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-15701</v>
      </c>
      <c r="D46" s="1405" t="str">
        <f>C2</f>
        <v>万元</v>
      </c>
      <c r="E46" s="1399"/>
      <c r="F46" s="1399"/>
      <c r="I46" s="1406" t="s">
        <v>810</v>
      </c>
      <c r="J46" s="1407"/>
      <c r="K46" s="1408"/>
      <c r="L46" s="1409">
        <f ca="1">IF(M47="住宅",0,IF(L48&gt;J51,L60,J60))</f>
        <v>623</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3625</v>
      </c>
      <c r="K47" s="1415" t="s">
        <v>816</v>
      </c>
      <c r="L47" s="1416">
        <f ca="1">INDIRECT("'数据-取费表'!d"&amp;$G$1)</f>
        <v>50</v>
      </c>
      <c r="M47" s="1379" t="str">
        <f>IF(ISNUMBER(FIND("住宅",C1)),"住宅","非住宅")</f>
        <v>非住宅</v>
      </c>
      <c r="O47" s="1417" t="s">
        <v>403</v>
      </c>
      <c r="P47" s="1418" t="s">
        <v>817</v>
      </c>
      <c r="Q47" s="1419">
        <f ca="1">C40+J29</f>
        <v>14648</v>
      </c>
      <c r="R47" s="1419" t="s">
        <v>818</v>
      </c>
    </row>
    <row r="48" spans="1:18" s="1383" customFormat="1" ht="28.5" thickBot="1">
      <c r="A48" s="1110" t="s">
        <v>438</v>
      </c>
      <c r="B48" s="300" t="s">
        <v>692</v>
      </c>
      <c r="C48" s="1358">
        <f ca="1">C49+C53+C55</f>
        <v>0</v>
      </c>
      <c r="D48" s="1112"/>
      <c r="E48" s="1113"/>
      <c r="F48" s="962"/>
      <c r="G48" s="722"/>
      <c r="H48" s="723"/>
      <c r="I48" s="1420" t="s">
        <v>819</v>
      </c>
      <c r="J48" s="1421" t="s">
        <v>3626</v>
      </c>
      <c r="K48" s="1422" t="s">
        <v>820</v>
      </c>
      <c r="L48" s="1423">
        <f ca="1">INDIRECT("'数据-取费表'!f"&amp;$G$1)</f>
        <v>28.5</v>
      </c>
      <c r="O48" s="1417" t="s">
        <v>404</v>
      </c>
      <c r="P48" s="1418" t="s">
        <v>821</v>
      </c>
      <c r="Q48" s="1419">
        <f ca="1">J60</f>
        <v>623</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12241</v>
      </c>
      <c r="R49" s="1419" t="s">
        <v>818</v>
      </c>
    </row>
    <row r="50" spans="1:18" s="1383" customFormat="1" ht="13.5" thickBot="1">
      <c r="A50" s="976"/>
      <c r="B50" s="979"/>
      <c r="C50" s="1118"/>
      <c r="D50" s="953"/>
      <c r="E50" s="1056" t="s">
        <v>697</v>
      </c>
      <c r="F50" s="1057">
        <f ca="1">F7</f>
        <v>17559.11</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1670</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81" t="s">
        <v>837</v>
      </c>
      <c r="L53" s="3682"/>
      <c r="O53" s="1417" t="s">
        <v>409</v>
      </c>
      <c r="P53" s="1418" t="s">
        <v>838</v>
      </c>
      <c r="Q53" s="1419">
        <f ca="1">Q47+Q48</f>
        <v>15271</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10650</v>
      </c>
      <c r="D56" s="1446"/>
      <c r="E56" s="1447"/>
      <c r="F56" s="1439"/>
      <c r="I56" s="1448" t="s">
        <v>842</v>
      </c>
      <c r="J56" s="1449" t="s">
        <v>3369</v>
      </c>
      <c r="K56" s="1420" t="s">
        <v>843</v>
      </c>
      <c r="L56" s="1423" t="str">
        <f ca="1">IF(L48&lt;J51,"——",L48-J53)</f>
        <v>——</v>
      </c>
      <c r="O56" s="1417" t="s">
        <v>403</v>
      </c>
      <c r="P56" s="1418" t="s">
        <v>817</v>
      </c>
      <c r="Q56" s="1419">
        <f ca="1">C40+J29</f>
        <v>14648</v>
      </c>
      <c r="R56" s="1419" t="s">
        <v>818</v>
      </c>
    </row>
    <row r="57" spans="1:18" s="1383" customFormat="1" ht="24.75" thickBot="1">
      <c r="A57" s="1450"/>
      <c r="B57" s="950" t="s">
        <v>767</v>
      </c>
      <c r="C57" s="238">
        <f ca="1">C29</f>
        <v>12241</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74</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2</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4896</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623</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2.35</v>
      </c>
      <c r="D62" s="965" t="s">
        <v>786</v>
      </c>
      <c r="E62" s="950" t="s">
        <v>787</v>
      </c>
      <c r="F62" s="325">
        <f t="shared" si="0"/>
        <v>1.5</v>
      </c>
      <c r="I62" s="1461" t="s">
        <v>858</v>
      </c>
      <c r="J62" s="1462" t="s">
        <v>859</v>
      </c>
      <c r="K62" s="1462" t="s">
        <v>860</v>
      </c>
      <c r="L62" s="1462" t="s">
        <v>861</v>
      </c>
      <c r="M62" s="1463" t="s">
        <v>862</v>
      </c>
      <c r="O62" s="1417" t="s">
        <v>409</v>
      </c>
      <c r="P62" s="1418" t="s">
        <v>863</v>
      </c>
      <c r="Q62" s="1419">
        <f ca="1">Q56+Q57</f>
        <v>14648</v>
      </c>
      <c r="R62" s="1419" t="s">
        <v>410</v>
      </c>
    </row>
    <row r="63" spans="1:18" s="1383" customFormat="1" ht="13.5" thickBot="1">
      <c r="A63" s="326"/>
      <c r="B63" s="956"/>
      <c r="C63" s="26"/>
      <c r="D63" s="966"/>
      <c r="E63" s="950" t="s">
        <v>788</v>
      </c>
      <c r="F63" s="303">
        <f t="shared" ca="1" si="0"/>
        <v>15637.42</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61.21</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10.65</v>
      </c>
      <c r="D65" s="964" t="s">
        <v>743</v>
      </c>
      <c r="E65" s="950" t="s">
        <v>744</v>
      </c>
      <c r="F65" s="330">
        <f t="shared" ca="1" si="0"/>
        <v>1E-3</v>
      </c>
      <c r="I65" s="1461" t="s">
        <v>867</v>
      </c>
      <c r="J65" s="1462">
        <v>40</v>
      </c>
      <c r="K65" s="1462">
        <v>30</v>
      </c>
      <c r="L65" s="1462">
        <v>50</v>
      </c>
      <c r="M65" s="1464">
        <v>0.02</v>
      </c>
      <c r="O65" s="1417" t="s">
        <v>403</v>
      </c>
      <c r="P65" s="1418" t="s">
        <v>868</v>
      </c>
      <c r="Q65" s="1419">
        <f ca="1">C40+J29</f>
        <v>14648</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-74</v>
      </c>
      <c r="D67" s="963" t="s">
        <v>753</v>
      </c>
      <c r="E67" s="968"/>
      <c r="F67" s="969"/>
      <c r="O67" s="1427" t="s">
        <v>405</v>
      </c>
      <c r="P67" s="1418" t="s">
        <v>850</v>
      </c>
      <c r="Q67" s="1465">
        <f ca="1">L51</f>
        <v>1670</v>
      </c>
      <c r="R67" s="1419" t="s">
        <v>870</v>
      </c>
    </row>
    <row r="68" spans="1:18" s="1383" customFormat="1" ht="16.5" thickBot="1">
      <c r="A68" s="947" t="s">
        <v>395</v>
      </c>
      <c r="B68" s="948" t="s">
        <v>774</v>
      </c>
      <c r="C68" s="301">
        <f ca="1">ROUND(C67*(1-((1+F70)/(1+F68))^F69)/(F68-F70),0)</f>
        <v>-1053</v>
      </c>
      <c r="D68" s="965" t="s">
        <v>758</v>
      </c>
      <c r="E68" s="950" t="s">
        <v>759</v>
      </c>
      <c r="F68" s="312">
        <f ca="1">F40</f>
        <v>5.5E-2</v>
      </c>
      <c r="O68" s="1427" t="s">
        <v>406</v>
      </c>
      <c r="P68" s="1466" t="s">
        <v>871</v>
      </c>
      <c r="Q68" s="1419">
        <f ca="1">ROUND(Q69-Q70*Q71,0)</f>
        <v>84</v>
      </c>
      <c r="R68" s="1419" t="s">
        <v>414</v>
      </c>
    </row>
    <row r="69" spans="1:18" s="1383" customFormat="1" ht="13.5" thickBot="1">
      <c r="A69" s="951"/>
      <c r="B69" s="952"/>
      <c r="C69" s="306"/>
      <c r="D69" s="970" t="s">
        <v>762</v>
      </c>
      <c r="E69" s="950" t="s">
        <v>763</v>
      </c>
      <c r="F69" s="333">
        <f ca="1">F41</f>
        <v>28.5</v>
      </c>
      <c r="O69" s="1427" t="s">
        <v>411</v>
      </c>
      <c r="P69" s="1466" t="s">
        <v>872</v>
      </c>
      <c r="Q69" s="1419">
        <f ca="1">C39</f>
        <v>830</v>
      </c>
      <c r="R69" s="1419" t="s">
        <v>818</v>
      </c>
    </row>
    <row r="70" spans="1:18" s="1383" customFormat="1" ht="13.5" thickBot="1">
      <c r="A70" s="954"/>
      <c r="B70" s="955"/>
      <c r="C70" s="310"/>
      <c r="D70" s="966"/>
      <c r="E70" s="950" t="s">
        <v>766</v>
      </c>
      <c r="F70" s="1054"/>
      <c r="O70" s="1427" t="s">
        <v>412</v>
      </c>
      <c r="P70" s="1466" t="s">
        <v>873</v>
      </c>
      <c r="Q70" s="1419">
        <f ca="1">C13</f>
        <v>10650</v>
      </c>
      <c r="R70" s="1419" t="s">
        <v>818</v>
      </c>
    </row>
    <row r="71" spans="1:18" s="1383" customFormat="1" ht="13.5" thickBot="1">
      <c r="A71" s="971" t="s">
        <v>396</v>
      </c>
      <c r="B71" s="972" t="s">
        <v>776</v>
      </c>
      <c r="C71" s="336">
        <f ca="1">ROUND(C68*10000/F71,0)</f>
        <v>-600</v>
      </c>
      <c r="D71" s="973" t="s">
        <v>777</v>
      </c>
      <c r="E71" s="974" t="s">
        <v>778</v>
      </c>
      <c r="F71" s="339">
        <f ca="1">F43</f>
        <v>17559.11</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746</v>
      </c>
      <c r="D75" s="1383"/>
      <c r="E75" s="1383"/>
      <c r="F75" s="1383"/>
      <c r="K75" s="1401"/>
      <c r="L75" s="1383"/>
      <c r="O75" s="1417" t="s">
        <v>409</v>
      </c>
      <c r="P75" s="1418" t="s">
        <v>838</v>
      </c>
      <c r="Q75" s="1419">
        <f ca="1">Q65+Q66</f>
        <v>14648</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0.10099999999999998</v>
      </c>
    </row>
    <row r="80" spans="1:18">
      <c r="B80" s="340" t="s">
        <v>800</v>
      </c>
      <c r="C80" s="274">
        <f ca="1">ROUND(C75/C39,3)</f>
        <v>0.89900000000000002</v>
      </c>
    </row>
    <row r="81" spans="2:3">
      <c r="B81" s="270" t="s">
        <v>801</v>
      </c>
      <c r="C81" s="238"/>
    </row>
    <row r="82" spans="2:3">
      <c r="B82" s="273" t="s">
        <v>802</v>
      </c>
      <c r="C82" s="275">
        <f ca="1">1-C83</f>
        <v>0.27300000000000002</v>
      </c>
    </row>
    <row r="83" spans="2:3">
      <c r="B83" s="273" t="s">
        <v>803</v>
      </c>
      <c r="C83" s="274">
        <f ca="1">ROUND(C13/C40,3)</f>
        <v>0.72699999999999998</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8" customWidth="1"/>
    <col min="14" max="14" width="10" style="3048" customWidth="1"/>
    <col min="15" max="16" width="8.25" style="3048"/>
    <col min="17" max="17" width="34.125" style="3048" customWidth="1"/>
    <col min="18" max="18" width="8.25" style="3048" customWidth="1"/>
    <col min="19" max="19" width="8.25" style="3048"/>
    <col min="20" max="20" width="11.625" style="3048" customWidth="1"/>
    <col min="21" max="16384" width="8.25" style="3048"/>
  </cols>
  <sheetData>
    <row r="1" spans="1:13" ht="19.5" customHeight="1" thickBot="1">
      <c r="A1" s="3045" t="s">
        <v>2570</v>
      </c>
      <c r="B1" s="3046" t="s">
        <v>2571</v>
      </c>
      <c r="C1" s="3046" t="s">
        <v>2572</v>
      </c>
      <c r="D1" s="3046" t="s">
        <v>2573</v>
      </c>
      <c r="E1" s="3046" t="s">
        <v>2574</v>
      </c>
      <c r="F1" s="3046" t="s">
        <v>2575</v>
      </c>
      <c r="G1" s="3046" t="s">
        <v>2576</v>
      </c>
      <c r="H1" s="3046" t="s">
        <v>2577</v>
      </c>
      <c r="I1" s="3046" t="s">
        <v>2578</v>
      </c>
      <c r="J1" s="3046" t="s">
        <v>2579</v>
      </c>
      <c r="K1" s="3046" t="s">
        <v>2580</v>
      </c>
      <c r="L1" s="3046" t="s">
        <v>2581</v>
      </c>
      <c r="M1" s="3047" t="s">
        <v>2582</v>
      </c>
    </row>
    <row r="2" spans="1:13" ht="19.5" customHeight="1">
      <c r="A2" s="3049" t="s">
        <v>2583</v>
      </c>
      <c r="B2" s="3050">
        <v>3.5</v>
      </c>
      <c r="C2" s="3050">
        <v>3.5</v>
      </c>
      <c r="D2" s="3051">
        <v>2.5</v>
      </c>
      <c r="E2" s="3051">
        <v>2.5</v>
      </c>
      <c r="F2" s="3051">
        <v>2.5</v>
      </c>
      <c r="G2" s="3051">
        <v>2.5</v>
      </c>
      <c r="H2" s="3051">
        <v>2.5</v>
      </c>
      <c r="I2" s="3050">
        <v>2</v>
      </c>
      <c r="J2" s="3050">
        <v>2</v>
      </c>
      <c r="K2" s="3050">
        <v>2</v>
      </c>
      <c r="L2" s="3050">
        <v>2</v>
      </c>
      <c r="M2" s="3052">
        <v>2</v>
      </c>
    </row>
    <row r="3" spans="1:13" ht="19.5" customHeight="1">
      <c r="A3" s="2994" t="s">
        <v>2584</v>
      </c>
      <c r="B3" s="2997">
        <v>3.5</v>
      </c>
      <c r="C3" s="2997">
        <v>3.5</v>
      </c>
      <c r="D3" s="3053">
        <v>2.5</v>
      </c>
      <c r="E3" s="3053">
        <v>2.5</v>
      </c>
      <c r="F3" s="3053">
        <v>2.5</v>
      </c>
      <c r="G3" s="3053">
        <v>2.5</v>
      </c>
      <c r="H3" s="3053">
        <v>2.5</v>
      </c>
      <c r="I3" s="2997">
        <v>2</v>
      </c>
      <c r="J3" s="2997">
        <v>2</v>
      </c>
      <c r="K3" s="2997">
        <v>2</v>
      </c>
      <c r="L3" s="2997">
        <v>2</v>
      </c>
      <c r="M3" s="3001">
        <v>2</v>
      </c>
    </row>
    <row r="4" spans="1:13" ht="19.5" customHeight="1">
      <c r="A4" s="2994" t="s">
        <v>2585</v>
      </c>
      <c r="B4" s="3053">
        <v>2.5</v>
      </c>
      <c r="C4" s="3053">
        <v>2.5</v>
      </c>
      <c r="D4" s="3053">
        <v>2.5</v>
      </c>
      <c r="E4" s="3053">
        <v>2.5</v>
      </c>
      <c r="F4" s="3053">
        <v>2.5</v>
      </c>
      <c r="G4" s="3053">
        <v>2.5</v>
      </c>
      <c r="H4" s="3053">
        <v>2.5</v>
      </c>
      <c r="I4" s="2997">
        <v>1.5</v>
      </c>
      <c r="J4" s="2997">
        <v>1.5</v>
      </c>
      <c r="K4" s="2997">
        <v>1.5</v>
      </c>
      <c r="L4" s="2997">
        <v>1.5</v>
      </c>
      <c r="M4" s="3001">
        <v>1.5</v>
      </c>
    </row>
    <row r="5" spans="1:13" ht="19.5" customHeight="1">
      <c r="A5" s="3054" t="s">
        <v>2586</v>
      </c>
      <c r="B5" s="2997">
        <v>1.5</v>
      </c>
      <c r="C5" s="2997">
        <v>1.5</v>
      </c>
      <c r="D5" s="2997">
        <v>1.5</v>
      </c>
      <c r="E5" s="2997">
        <v>1.5</v>
      </c>
      <c r="F5" s="2997">
        <v>1.5</v>
      </c>
      <c r="G5" s="2997">
        <v>1.2</v>
      </c>
      <c r="H5" s="2997">
        <v>1.2</v>
      </c>
      <c r="I5" s="2997">
        <v>1</v>
      </c>
      <c r="J5" s="2997">
        <v>1</v>
      </c>
      <c r="K5" s="2997">
        <v>1</v>
      </c>
      <c r="L5" s="2997">
        <v>1</v>
      </c>
      <c r="M5" s="3001">
        <v>1</v>
      </c>
    </row>
    <row r="6" spans="1:13" ht="19.5" customHeight="1">
      <c r="A6" s="3055" t="s">
        <v>2587</v>
      </c>
      <c r="B6" s="3056">
        <v>2.5</v>
      </c>
      <c r="C6" s="3056">
        <v>2.5</v>
      </c>
      <c r="D6" s="3056">
        <v>2</v>
      </c>
      <c r="E6" s="3056">
        <v>2</v>
      </c>
      <c r="F6" s="3056">
        <v>2</v>
      </c>
      <c r="G6" s="3056">
        <v>2</v>
      </c>
      <c r="H6" s="3056">
        <v>2</v>
      </c>
      <c r="I6" s="3057">
        <v>1.5</v>
      </c>
      <c r="J6" s="3057">
        <v>1.5</v>
      </c>
      <c r="K6" s="3057">
        <v>1.5</v>
      </c>
      <c r="L6" s="3057">
        <v>1.5</v>
      </c>
      <c r="M6" s="3058">
        <v>1.5</v>
      </c>
    </row>
    <row r="7" spans="1:13" ht="19.5" customHeight="1" thickBot="1">
      <c r="A7" s="3059" t="s">
        <v>2588</v>
      </c>
      <c r="B7" s="3060">
        <v>2.5</v>
      </c>
      <c r="C7" s="3060">
        <v>2.5</v>
      </c>
      <c r="D7" s="3060">
        <v>2</v>
      </c>
      <c r="E7" s="3060">
        <v>2</v>
      </c>
      <c r="F7" s="3060">
        <v>2</v>
      </c>
      <c r="G7" s="3060">
        <v>2</v>
      </c>
      <c r="H7" s="3060">
        <v>2</v>
      </c>
      <c r="I7" s="3006">
        <v>1.5</v>
      </c>
      <c r="J7" s="3006">
        <v>1.5</v>
      </c>
      <c r="K7" s="3006">
        <v>1.5</v>
      </c>
      <c r="L7" s="3006">
        <v>1.5</v>
      </c>
      <c r="M7" s="3061">
        <v>1.5</v>
      </c>
    </row>
    <row r="8" spans="1:13" ht="19.5" customHeight="1">
      <c r="A8" s="3062" t="s">
        <v>2589</v>
      </c>
      <c r="B8" s="3063">
        <v>80</v>
      </c>
      <c r="C8" s="3063">
        <v>80</v>
      </c>
      <c r="D8" s="3063">
        <v>70</v>
      </c>
      <c r="E8" s="3063">
        <v>70</v>
      </c>
      <c r="F8" s="3063">
        <v>70</v>
      </c>
      <c r="G8" s="3063">
        <v>70</v>
      </c>
      <c r="H8" s="3063">
        <v>70</v>
      </c>
      <c r="I8" s="3063">
        <v>60</v>
      </c>
      <c r="J8" s="3063">
        <v>60</v>
      </c>
      <c r="K8" s="3063">
        <v>60</v>
      </c>
      <c r="L8" s="3063">
        <v>60</v>
      </c>
      <c r="M8" s="3064">
        <v>60</v>
      </c>
    </row>
    <row r="9" spans="1:13" ht="19.5" customHeight="1">
      <c r="A9" s="3065" t="s">
        <v>2590</v>
      </c>
      <c r="B9" s="3066">
        <v>70</v>
      </c>
      <c r="C9" s="3066">
        <v>70</v>
      </c>
      <c r="D9" s="3066">
        <v>60</v>
      </c>
      <c r="E9" s="3066">
        <v>60</v>
      </c>
      <c r="F9" s="3066">
        <v>60</v>
      </c>
      <c r="G9" s="3066">
        <v>60</v>
      </c>
      <c r="H9" s="3066">
        <v>60</v>
      </c>
      <c r="I9" s="3066">
        <v>50</v>
      </c>
      <c r="J9" s="3066">
        <v>50</v>
      </c>
      <c r="K9" s="3066">
        <v>50</v>
      </c>
      <c r="L9" s="3066">
        <v>50</v>
      </c>
      <c r="M9" s="3067">
        <v>50</v>
      </c>
    </row>
    <row r="10" spans="1:13" ht="19.5" customHeight="1">
      <c r="A10" s="3065" t="s">
        <v>2591</v>
      </c>
      <c r="B10" s="3066">
        <v>20</v>
      </c>
      <c r="C10" s="3066">
        <v>20</v>
      </c>
      <c r="D10" s="3066">
        <v>15</v>
      </c>
      <c r="E10" s="3066">
        <v>15</v>
      </c>
      <c r="F10" s="3066">
        <v>15</v>
      </c>
      <c r="G10" s="3066">
        <v>15</v>
      </c>
      <c r="H10" s="3066">
        <v>15</v>
      </c>
      <c r="I10" s="3066">
        <v>10</v>
      </c>
      <c r="J10" s="3066">
        <v>10</v>
      </c>
      <c r="K10" s="3066">
        <v>10</v>
      </c>
      <c r="L10" s="3066">
        <v>10</v>
      </c>
      <c r="M10" s="3067">
        <v>10</v>
      </c>
    </row>
    <row r="11" spans="1:13" ht="19.5" customHeight="1">
      <c r="A11" s="3065" t="s">
        <v>2592</v>
      </c>
      <c r="B11" s="3066">
        <v>30</v>
      </c>
      <c r="C11" s="3066">
        <v>30</v>
      </c>
      <c r="D11" s="3066">
        <v>25</v>
      </c>
      <c r="E11" s="3066">
        <v>25</v>
      </c>
      <c r="F11" s="3066">
        <v>25</v>
      </c>
      <c r="G11" s="3066">
        <v>25</v>
      </c>
      <c r="H11" s="3066">
        <v>25</v>
      </c>
      <c r="I11" s="3066">
        <v>20</v>
      </c>
      <c r="J11" s="3066">
        <v>20</v>
      </c>
      <c r="K11" s="3066">
        <v>20</v>
      </c>
      <c r="L11" s="3066">
        <v>20</v>
      </c>
      <c r="M11" s="3067">
        <v>20</v>
      </c>
    </row>
    <row r="12" spans="1:13" ht="19.5" customHeight="1">
      <c r="A12" s="3065" t="s">
        <v>2593</v>
      </c>
      <c r="B12" s="3066">
        <v>45</v>
      </c>
      <c r="C12" s="3066">
        <v>45</v>
      </c>
      <c r="D12" s="3066">
        <v>40</v>
      </c>
      <c r="E12" s="3066">
        <v>40</v>
      </c>
      <c r="F12" s="3066">
        <v>40</v>
      </c>
      <c r="G12" s="3066">
        <v>40</v>
      </c>
      <c r="H12" s="3066">
        <v>40</v>
      </c>
      <c r="I12" s="3066">
        <v>35</v>
      </c>
      <c r="J12" s="3066">
        <v>35</v>
      </c>
      <c r="K12" s="3066">
        <v>35</v>
      </c>
      <c r="L12" s="3066">
        <v>35</v>
      </c>
      <c r="M12" s="3067">
        <v>35</v>
      </c>
    </row>
    <row r="13" spans="1:13" ht="19.5" customHeight="1">
      <c r="A13" s="3065" t="s">
        <v>2594</v>
      </c>
      <c r="B13" s="3066">
        <v>60</v>
      </c>
      <c r="C13" s="3066">
        <v>60</v>
      </c>
      <c r="D13" s="3066">
        <v>50</v>
      </c>
      <c r="E13" s="3066">
        <v>50</v>
      </c>
      <c r="F13" s="3066">
        <v>50</v>
      </c>
      <c r="G13" s="3066">
        <v>50</v>
      </c>
      <c r="H13" s="3066">
        <v>50</v>
      </c>
      <c r="I13" s="3066">
        <v>40</v>
      </c>
      <c r="J13" s="3066">
        <v>40</v>
      </c>
      <c r="K13" s="3066">
        <v>40</v>
      </c>
      <c r="L13" s="3066">
        <v>40</v>
      </c>
      <c r="M13" s="3067">
        <v>40</v>
      </c>
    </row>
    <row r="14" spans="1:13" ht="19.5" customHeight="1">
      <c r="A14" s="3065" t="s">
        <v>2595</v>
      </c>
      <c r="B14" s="3066">
        <v>50</v>
      </c>
      <c r="C14" s="3066">
        <v>50</v>
      </c>
      <c r="D14" s="3066">
        <v>40</v>
      </c>
      <c r="E14" s="3066">
        <v>40</v>
      </c>
      <c r="F14" s="3066">
        <v>40</v>
      </c>
      <c r="G14" s="3066">
        <v>40</v>
      </c>
      <c r="H14" s="3066">
        <v>40</v>
      </c>
      <c r="I14" s="3066">
        <v>30</v>
      </c>
      <c r="J14" s="3066">
        <v>30</v>
      </c>
      <c r="K14" s="3066">
        <v>30</v>
      </c>
      <c r="L14" s="3066">
        <v>30</v>
      </c>
      <c r="M14" s="3067">
        <v>30</v>
      </c>
    </row>
    <row r="15" spans="1:13" ht="19.5" customHeight="1">
      <c r="A15" s="3068" t="s">
        <v>2596</v>
      </c>
      <c r="B15" s="3069">
        <v>20</v>
      </c>
      <c r="C15" s="3069">
        <v>20</v>
      </c>
      <c r="D15" s="3069">
        <v>15</v>
      </c>
      <c r="E15" s="3069">
        <v>15</v>
      </c>
      <c r="F15" s="3069">
        <v>15</v>
      </c>
      <c r="G15" s="3069">
        <v>15</v>
      </c>
      <c r="H15" s="3069">
        <v>15</v>
      </c>
      <c r="I15" s="3069">
        <v>10</v>
      </c>
      <c r="J15" s="3069">
        <v>10</v>
      </c>
      <c r="K15" s="3069">
        <v>10</v>
      </c>
      <c r="L15" s="3069">
        <v>10</v>
      </c>
      <c r="M15" s="3070">
        <v>10</v>
      </c>
    </row>
    <row r="16" spans="1:13" ht="19.5" customHeight="1">
      <c r="A16" s="3066" t="s">
        <v>2597</v>
      </c>
      <c r="B16" s="2997">
        <v>0</v>
      </c>
      <c r="C16" s="2997">
        <v>0</v>
      </c>
      <c r="D16" s="2997">
        <v>0</v>
      </c>
      <c r="E16" s="2997">
        <v>0</v>
      </c>
      <c r="F16" s="2997">
        <v>0</v>
      </c>
      <c r="G16" s="2997">
        <v>0</v>
      </c>
      <c r="H16" s="2997">
        <v>0</v>
      </c>
      <c r="I16" s="2997">
        <v>0</v>
      </c>
      <c r="J16" s="2997">
        <v>0</v>
      </c>
      <c r="K16" s="2997">
        <v>0</v>
      </c>
      <c r="L16" s="2997">
        <v>0</v>
      </c>
      <c r="M16" s="2997">
        <v>0</v>
      </c>
    </row>
    <row r="17" spans="1:13" ht="19.5" customHeight="1">
      <c r="A17" s="3066" t="s">
        <v>2598</v>
      </c>
      <c r="B17" s="2997">
        <f>SUM(B8:B15)</f>
        <v>375</v>
      </c>
      <c r="C17" s="2997">
        <f t="shared" ref="C17:H17" si="0">SUM(C8:C15)</f>
        <v>375</v>
      </c>
      <c r="D17" s="2997">
        <f t="shared" si="0"/>
        <v>315</v>
      </c>
      <c r="E17" s="2997">
        <f t="shared" si="0"/>
        <v>315</v>
      </c>
      <c r="F17" s="2997">
        <f t="shared" si="0"/>
        <v>315</v>
      </c>
      <c r="G17" s="2997">
        <f t="shared" si="0"/>
        <v>315</v>
      </c>
      <c r="H17" s="2997">
        <f t="shared" si="0"/>
        <v>315</v>
      </c>
      <c r="I17" s="2997">
        <f>SUM(I8:I15)-I13-I14</f>
        <v>185</v>
      </c>
      <c r="J17" s="2997">
        <f t="shared" ref="J17:M17" si="1">SUM(J8:J15)-J13-J14</f>
        <v>185</v>
      </c>
      <c r="K17" s="2997">
        <f t="shared" si="1"/>
        <v>185</v>
      </c>
      <c r="L17" s="2997">
        <f t="shared" si="1"/>
        <v>185</v>
      </c>
      <c r="M17" s="2997">
        <f t="shared" si="1"/>
        <v>185</v>
      </c>
    </row>
    <row r="18" spans="1:13" s="3073" customFormat="1" ht="19.5" customHeight="1">
      <c r="A18" s="3071" t="s">
        <v>2599</v>
      </c>
      <c r="B18" s="3071"/>
      <c r="C18" s="3072"/>
      <c r="D18" s="3072"/>
      <c r="E18" s="3071"/>
      <c r="F18" s="3072"/>
      <c r="G18" s="3072"/>
    </row>
    <row r="19" spans="1:13" ht="19.5" customHeight="1" thickBot="1">
      <c r="A19" s="3069" t="s">
        <v>2600</v>
      </c>
      <c r="B19" s="3074" t="s">
        <v>2601</v>
      </c>
      <c r="C19" s="3074" t="s">
        <v>2602</v>
      </c>
      <c r="D19" s="3075"/>
      <c r="E19" s="3069" t="s">
        <v>2603</v>
      </c>
      <c r="F19" s="3076"/>
      <c r="G19" s="3076"/>
    </row>
    <row r="20" spans="1:13" ht="19.5" customHeight="1">
      <c r="A20" s="3807" t="s">
        <v>2583</v>
      </c>
      <c r="B20" s="3800" t="s">
        <v>2604</v>
      </c>
      <c r="C20" s="3077" t="s">
        <v>2415</v>
      </c>
      <c r="D20" s="3078"/>
      <c r="E20" s="3079">
        <v>1</v>
      </c>
      <c r="F20" s="3080" t="s">
        <v>2416</v>
      </c>
      <c r="G20" s="3080"/>
    </row>
    <row r="21" spans="1:13" ht="19.5" customHeight="1">
      <c r="A21" s="3808"/>
      <c r="B21" s="3801"/>
      <c r="C21" s="3081" t="s">
        <v>2417</v>
      </c>
      <c r="D21" s="3082"/>
      <c r="E21" s="3083">
        <v>1</v>
      </c>
      <c r="F21" s="3080" t="s">
        <v>2418</v>
      </c>
      <c r="G21" s="3080"/>
    </row>
    <row r="22" spans="1:13" ht="19.5" customHeight="1">
      <c r="A22" s="3808"/>
      <c r="B22" s="3801"/>
      <c r="C22" s="3081" t="s">
        <v>2419</v>
      </c>
      <c r="D22" s="3082"/>
      <c r="E22" s="3083">
        <v>0.9</v>
      </c>
      <c r="F22" s="3080" t="s">
        <v>2420</v>
      </c>
      <c r="G22" s="3080"/>
    </row>
    <row r="23" spans="1:13" ht="19.5" customHeight="1">
      <c r="A23" s="3808"/>
      <c r="B23" s="3801"/>
      <c r="C23" s="3081" t="s">
        <v>2421</v>
      </c>
      <c r="D23" s="3082"/>
      <c r="E23" s="3083">
        <v>0.9</v>
      </c>
      <c r="F23" s="3080" t="s">
        <v>2422</v>
      </c>
      <c r="G23" s="3080"/>
    </row>
    <row r="24" spans="1:13" ht="19.5" customHeight="1">
      <c r="A24" s="3808"/>
      <c r="B24" s="3801"/>
      <c r="C24" s="3081" t="s">
        <v>2423</v>
      </c>
      <c r="D24" s="3082"/>
      <c r="E24" s="3083">
        <v>0.8</v>
      </c>
      <c r="F24" s="3080" t="s">
        <v>2424</v>
      </c>
      <c r="G24" s="3080"/>
    </row>
    <row r="25" spans="1:13" ht="19.5" customHeight="1" thickBot="1">
      <c r="A25" s="3809"/>
      <c r="B25" s="3802"/>
      <c r="C25" s="3084" t="s">
        <v>2425</v>
      </c>
      <c r="D25" s="3085"/>
      <c r="E25" s="3086">
        <v>0.8</v>
      </c>
      <c r="F25" s="3080" t="s">
        <v>2426</v>
      </c>
      <c r="G25" s="3080"/>
    </row>
    <row r="26" spans="1:13" ht="19.5" customHeight="1" thickBot="1">
      <c r="A26" s="3087" t="s">
        <v>2605</v>
      </c>
      <c r="B26" s="3088" t="s">
        <v>2604</v>
      </c>
      <c r="C26" s="3089" t="s">
        <v>2606</v>
      </c>
      <c r="D26" s="3090"/>
      <c r="E26" s="3091">
        <v>1</v>
      </c>
      <c r="F26" s="3080" t="s">
        <v>2427</v>
      </c>
      <c r="G26" s="3080"/>
    </row>
    <row r="27" spans="1:13" ht="19.5" customHeight="1">
      <c r="A27" s="3803" t="s">
        <v>2607</v>
      </c>
      <c r="B27" s="3800" t="s">
        <v>2588</v>
      </c>
      <c r="C27" s="3077" t="s">
        <v>2428</v>
      </c>
      <c r="D27" s="3078"/>
      <c r="E27" s="3079">
        <v>1</v>
      </c>
      <c r="F27" s="3080" t="s">
        <v>2429</v>
      </c>
      <c r="G27" s="3080"/>
    </row>
    <row r="28" spans="1:13" ht="19.5" customHeight="1">
      <c r="A28" s="3804"/>
      <c r="B28" s="3801"/>
      <c r="C28" s="3081" t="s">
        <v>2430</v>
      </c>
      <c r="D28" s="3082"/>
      <c r="E28" s="3083">
        <v>1</v>
      </c>
      <c r="F28" s="3080" t="s">
        <v>2431</v>
      </c>
      <c r="G28" s="3080"/>
    </row>
    <row r="29" spans="1:13" ht="19.5" customHeight="1">
      <c r="A29" s="3804"/>
      <c r="B29" s="3801"/>
      <c r="C29" s="3081" t="s">
        <v>2432</v>
      </c>
      <c r="D29" s="3082"/>
      <c r="E29" s="3083">
        <v>0.8</v>
      </c>
      <c r="F29" s="3080" t="s">
        <v>2433</v>
      </c>
      <c r="G29" s="3080"/>
    </row>
    <row r="30" spans="1:13" ht="19.5" customHeight="1">
      <c r="A30" s="3804"/>
      <c r="B30" s="3801"/>
      <c r="C30" s="3081" t="s">
        <v>2434</v>
      </c>
      <c r="D30" s="3082"/>
      <c r="E30" s="3083">
        <v>0.8</v>
      </c>
      <c r="F30" s="3080" t="s">
        <v>2435</v>
      </c>
      <c r="G30" s="3080"/>
    </row>
    <row r="31" spans="1:13" ht="19.5" customHeight="1">
      <c r="A31" s="3804"/>
      <c r="B31" s="3801"/>
      <c r="C31" s="3081" t="s">
        <v>2436</v>
      </c>
      <c r="D31" s="3082"/>
      <c r="E31" s="3083">
        <v>0.8</v>
      </c>
      <c r="F31" s="3080" t="s">
        <v>2437</v>
      </c>
      <c r="G31" s="3080"/>
    </row>
    <row r="32" spans="1:13" ht="19.5" customHeight="1">
      <c r="A32" s="3804"/>
      <c r="B32" s="3801"/>
      <c r="C32" s="3081" t="s">
        <v>2438</v>
      </c>
      <c r="D32" s="3082"/>
      <c r="E32" s="3083">
        <v>0.7</v>
      </c>
      <c r="F32" s="3080" t="s">
        <v>2439</v>
      </c>
      <c r="G32" s="3080"/>
    </row>
    <row r="33" spans="1:7" ht="19.5" customHeight="1">
      <c r="A33" s="3804"/>
      <c r="B33" s="3801"/>
      <c r="C33" s="3081" t="s">
        <v>2440</v>
      </c>
      <c r="D33" s="3082"/>
      <c r="E33" s="3083">
        <v>0.8</v>
      </c>
      <c r="F33" s="3080" t="s">
        <v>2441</v>
      </c>
      <c r="G33" s="3080"/>
    </row>
    <row r="34" spans="1:7" ht="19.5" customHeight="1">
      <c r="A34" s="3804"/>
      <c r="B34" s="3801"/>
      <c r="C34" s="3081" t="s">
        <v>2442</v>
      </c>
      <c r="D34" s="3082"/>
      <c r="E34" s="3083">
        <v>0.6</v>
      </c>
      <c r="F34" s="3080" t="s">
        <v>2443</v>
      </c>
      <c r="G34" s="3080"/>
    </row>
    <row r="35" spans="1:7" ht="19.5" customHeight="1">
      <c r="A35" s="3804"/>
      <c r="B35" s="3801"/>
      <c r="C35" s="3081" t="s">
        <v>2444</v>
      </c>
      <c r="D35" s="3082"/>
      <c r="E35" s="3083">
        <v>0.2</v>
      </c>
      <c r="F35" s="3080" t="s">
        <v>2445</v>
      </c>
      <c r="G35" s="3080"/>
    </row>
    <row r="36" spans="1:7" ht="19.5" customHeight="1">
      <c r="A36" s="3804"/>
      <c r="B36" s="3801"/>
      <c r="C36" s="3081" t="s">
        <v>2446</v>
      </c>
      <c r="D36" s="3082"/>
      <c r="E36" s="3083">
        <v>0.2</v>
      </c>
      <c r="F36" s="3080" t="s">
        <v>2447</v>
      </c>
      <c r="G36" s="3080"/>
    </row>
    <row r="37" spans="1:7" ht="19.5" customHeight="1">
      <c r="A37" s="3804"/>
      <c r="B37" s="3806" t="s">
        <v>2608</v>
      </c>
      <c r="C37" s="3081" t="s">
        <v>2448</v>
      </c>
      <c r="D37" s="3082"/>
      <c r="E37" s="3083">
        <v>0.6</v>
      </c>
      <c r="F37" s="3080" t="s">
        <v>2449</v>
      </c>
      <c r="G37" s="3080"/>
    </row>
    <row r="38" spans="1:7" ht="19.5" customHeight="1">
      <c r="A38" s="3804"/>
      <c r="B38" s="3801"/>
      <c r="C38" s="3081" t="s">
        <v>2450</v>
      </c>
      <c r="D38" s="3082"/>
      <c r="E38" s="3083">
        <v>0.6</v>
      </c>
      <c r="F38" s="3080" t="s">
        <v>2451</v>
      </c>
      <c r="G38" s="3080"/>
    </row>
    <row r="39" spans="1:7" ht="19.5" customHeight="1" thickBot="1">
      <c r="A39" s="3805"/>
      <c r="B39" s="3802"/>
      <c r="C39" s="3084" t="s">
        <v>2452</v>
      </c>
      <c r="D39" s="3085"/>
      <c r="E39" s="3086">
        <v>0.6</v>
      </c>
      <c r="F39" s="3080" t="s">
        <v>2453</v>
      </c>
      <c r="G39" s="3080"/>
    </row>
    <row r="40" spans="1:7" ht="19.5" customHeight="1" thickBot="1">
      <c r="A40" s="3087" t="s">
        <v>2585</v>
      </c>
      <c r="B40" s="3088" t="s">
        <v>2585</v>
      </c>
      <c r="C40" s="3089" t="s">
        <v>2609</v>
      </c>
      <c r="D40" s="3090"/>
      <c r="E40" s="3091">
        <v>1</v>
      </c>
      <c r="F40" s="3080" t="s">
        <v>2454</v>
      </c>
      <c r="G40" s="3080"/>
    </row>
    <row r="41" spans="1:7" ht="19.5" customHeight="1">
      <c r="A41" s="3807" t="s">
        <v>2586</v>
      </c>
      <c r="B41" s="3800" t="s">
        <v>2610</v>
      </c>
      <c r="C41" s="3077" t="s">
        <v>2455</v>
      </c>
      <c r="D41" s="3078"/>
      <c r="E41" s="3079">
        <v>1</v>
      </c>
      <c r="F41" s="3080" t="s">
        <v>2456</v>
      </c>
      <c r="G41" s="3080"/>
    </row>
    <row r="42" spans="1:7" ht="19.5" customHeight="1">
      <c r="A42" s="3808"/>
      <c r="B42" s="3801"/>
      <c r="C42" s="3081" t="s">
        <v>2457</v>
      </c>
      <c r="D42" s="3082"/>
      <c r="E42" s="3083">
        <v>1</v>
      </c>
      <c r="F42" s="3080" t="s">
        <v>2458</v>
      </c>
      <c r="G42" s="3080"/>
    </row>
    <row r="43" spans="1:7" ht="19.5" customHeight="1">
      <c r="A43" s="3808"/>
      <c r="B43" s="3810"/>
      <c r="C43" s="3081" t="s">
        <v>2459</v>
      </c>
      <c r="D43" s="3082"/>
      <c r="E43" s="3083">
        <v>1.5</v>
      </c>
      <c r="F43" s="3080" t="s">
        <v>2460</v>
      </c>
      <c r="G43" s="3080"/>
    </row>
    <row r="44" spans="1:7" ht="19.5" customHeight="1">
      <c r="A44" s="3808"/>
      <c r="B44" s="3092" t="s">
        <v>2611</v>
      </c>
      <c r="C44" s="3081" t="s">
        <v>2612</v>
      </c>
      <c r="D44" s="3082"/>
      <c r="E44" s="3083">
        <v>2</v>
      </c>
      <c r="F44" s="3080" t="s">
        <v>2461</v>
      </c>
      <c r="G44" s="3080"/>
    </row>
    <row r="45" spans="1:7" ht="19.5" customHeight="1">
      <c r="A45" s="3808"/>
      <c r="B45" s="3806" t="s">
        <v>2613</v>
      </c>
      <c r="C45" s="3081" t="s">
        <v>2462</v>
      </c>
      <c r="D45" s="3082"/>
      <c r="E45" s="3083">
        <v>1</v>
      </c>
      <c r="F45" s="3080" t="s">
        <v>2463</v>
      </c>
      <c r="G45" s="3080"/>
    </row>
    <row r="46" spans="1:7" ht="19.5" customHeight="1">
      <c r="A46" s="3808"/>
      <c r="B46" s="3801"/>
      <c r="C46" s="3081" t="s">
        <v>2464</v>
      </c>
      <c r="D46" s="3082"/>
      <c r="E46" s="3083">
        <v>1</v>
      </c>
      <c r="F46" s="3080" t="s">
        <v>2465</v>
      </c>
      <c r="G46" s="3080"/>
    </row>
    <row r="47" spans="1:7" ht="19.5" customHeight="1">
      <c r="A47" s="3808"/>
      <c r="B47" s="3801"/>
      <c r="C47" s="3081" t="s">
        <v>2466</v>
      </c>
      <c r="D47" s="3082"/>
      <c r="E47" s="3083">
        <v>1</v>
      </c>
      <c r="F47" s="3080" t="s">
        <v>2467</v>
      </c>
      <c r="G47" s="3080"/>
    </row>
    <row r="48" spans="1:7" ht="19.5" customHeight="1">
      <c r="A48" s="3808"/>
      <c r="B48" s="3801"/>
      <c r="C48" s="3081" t="s">
        <v>2468</v>
      </c>
      <c r="D48" s="3082"/>
      <c r="E48" s="3083">
        <v>1</v>
      </c>
      <c r="F48" s="3080" t="s">
        <v>2469</v>
      </c>
      <c r="G48" s="3080"/>
    </row>
    <row r="49" spans="1:7" ht="19.5" customHeight="1">
      <c r="A49" s="3808"/>
      <c r="B49" s="3801"/>
      <c r="C49" s="3081" t="s">
        <v>2470</v>
      </c>
      <c r="D49" s="3082"/>
      <c r="E49" s="3083">
        <v>1</v>
      </c>
      <c r="F49" s="3080" t="s">
        <v>2471</v>
      </c>
      <c r="G49" s="3080"/>
    </row>
    <row r="50" spans="1:7" ht="19.5" customHeight="1">
      <c r="A50" s="3808"/>
      <c r="B50" s="3801"/>
      <c r="C50" s="3081" t="s">
        <v>2472</v>
      </c>
      <c r="D50" s="3082"/>
      <c r="E50" s="3083">
        <v>1</v>
      </c>
      <c r="F50" s="3080" t="s">
        <v>2473</v>
      </c>
      <c r="G50" s="3080"/>
    </row>
    <row r="51" spans="1:7" ht="19.5" customHeight="1" thickBot="1">
      <c r="A51" s="3809"/>
      <c r="B51" s="3802"/>
      <c r="C51" s="3084" t="s">
        <v>2474</v>
      </c>
      <c r="D51" s="3085"/>
      <c r="E51" s="3086">
        <v>1</v>
      </c>
      <c r="F51" s="3080" t="s">
        <v>2475</v>
      </c>
      <c r="G51" s="3080"/>
    </row>
    <row r="52" spans="1:7" ht="19.5" customHeight="1">
      <c r="A52" s="3093"/>
      <c r="B52" s="3093"/>
      <c r="C52" s="3093"/>
      <c r="D52" s="3093"/>
      <c r="E52" s="3093"/>
      <c r="F52" s="3093"/>
      <c r="G52" s="3093"/>
    </row>
    <row r="54" spans="1:7" ht="19.5" customHeight="1">
      <c r="A54" s="3094"/>
      <c r="B54" s="3066" t="s">
        <v>2614</v>
      </c>
      <c r="C54" s="3066" t="s">
        <v>2614</v>
      </c>
      <c r="D54" s="3066" t="s">
        <v>2614</v>
      </c>
      <c r="E54" s="3069" t="s">
        <v>2614</v>
      </c>
      <c r="F54" s="3069" t="s">
        <v>2615</v>
      </c>
      <c r="G54" s="3069" t="s">
        <v>2616</v>
      </c>
    </row>
    <row r="55" spans="1:7" ht="19.5" customHeight="1">
      <c r="A55" s="3095"/>
      <c r="B55" s="3069" t="s">
        <v>2583</v>
      </c>
      <c r="C55" s="3069" t="s">
        <v>2583</v>
      </c>
      <c r="D55" s="3069" t="s">
        <v>2583</v>
      </c>
      <c r="E55" s="3066" t="s">
        <v>2584</v>
      </c>
      <c r="F55" s="3066" t="s">
        <v>2586</v>
      </c>
      <c r="G55" s="3066" t="s">
        <v>2617</v>
      </c>
    </row>
    <row r="56" spans="1:7" ht="19.5" customHeight="1">
      <c r="A56" s="3096"/>
      <c r="B56" s="3066">
        <v>1</v>
      </c>
      <c r="C56" s="3066">
        <v>2</v>
      </c>
      <c r="D56" s="3066">
        <v>3</v>
      </c>
      <c r="E56" s="3097" t="s">
        <v>2618</v>
      </c>
      <c r="F56" s="3097" t="s">
        <v>2618</v>
      </c>
      <c r="G56" s="3097" t="s">
        <v>2618</v>
      </c>
    </row>
    <row r="57" spans="1:7" ht="19.5" customHeight="1">
      <c r="A57" s="3098" t="s">
        <v>2571</v>
      </c>
      <c r="B57" s="3066">
        <v>0.7</v>
      </c>
      <c r="C57" s="3066">
        <v>0.4</v>
      </c>
      <c r="D57" s="3066">
        <v>0.3</v>
      </c>
      <c r="E57" s="3097">
        <v>0.3</v>
      </c>
      <c r="F57" s="3066">
        <v>0.3</v>
      </c>
      <c r="G57" s="3066">
        <v>0.2</v>
      </c>
    </row>
    <row r="58" spans="1:7" ht="19.5" customHeight="1">
      <c r="A58" s="3098" t="s">
        <v>2572</v>
      </c>
      <c r="B58" s="3066">
        <v>0.7</v>
      </c>
      <c r="C58" s="3066">
        <v>0.4</v>
      </c>
      <c r="D58" s="3066">
        <v>0.3</v>
      </c>
      <c r="E58" s="3066">
        <v>0.3</v>
      </c>
      <c r="F58" s="3066">
        <v>0.3</v>
      </c>
      <c r="G58" s="3066">
        <v>0.2</v>
      </c>
    </row>
    <row r="59" spans="1:7" ht="19.5" customHeight="1">
      <c r="A59" s="3098" t="s">
        <v>2573</v>
      </c>
      <c r="B59" s="3066">
        <v>0.6</v>
      </c>
      <c r="C59" s="3066">
        <v>0.3</v>
      </c>
      <c r="D59" s="3066">
        <v>0.25</v>
      </c>
      <c r="E59" s="3066">
        <v>0.25</v>
      </c>
      <c r="F59" s="3066">
        <v>0.25</v>
      </c>
      <c r="G59" s="3066">
        <v>0.15</v>
      </c>
    </row>
    <row r="60" spans="1:7" ht="19.5" customHeight="1">
      <c r="A60" s="3098" t="s">
        <v>2574</v>
      </c>
      <c r="B60" s="3066">
        <v>0.6</v>
      </c>
      <c r="C60" s="3066">
        <v>0.3</v>
      </c>
      <c r="D60" s="3066">
        <v>0.25</v>
      </c>
      <c r="E60" s="3066">
        <v>0.25</v>
      </c>
      <c r="F60" s="3066">
        <v>0.25</v>
      </c>
      <c r="G60" s="3066">
        <v>0.15</v>
      </c>
    </row>
    <row r="61" spans="1:7" ht="19.5" customHeight="1">
      <c r="A61" s="3098" t="s">
        <v>2575</v>
      </c>
      <c r="B61" s="3066">
        <v>0.6</v>
      </c>
      <c r="C61" s="3066">
        <v>0.3</v>
      </c>
      <c r="D61" s="3066">
        <v>0.25</v>
      </c>
      <c r="E61" s="3066">
        <v>0.25</v>
      </c>
      <c r="F61" s="3066">
        <v>0.25</v>
      </c>
      <c r="G61" s="3066">
        <v>0.15</v>
      </c>
    </row>
    <row r="62" spans="1:7" ht="19.5" customHeight="1">
      <c r="A62" s="3098" t="s">
        <v>2576</v>
      </c>
      <c r="B62" s="3066">
        <v>0.6</v>
      </c>
      <c r="C62" s="3066">
        <v>0.3</v>
      </c>
      <c r="D62" s="3066">
        <v>0.25</v>
      </c>
      <c r="E62" s="3066">
        <v>0.25</v>
      </c>
      <c r="F62" s="3066">
        <v>0.25</v>
      </c>
      <c r="G62" s="3066">
        <v>0.15</v>
      </c>
    </row>
    <row r="63" spans="1:7" ht="19.5" customHeight="1">
      <c r="A63" s="3098" t="s">
        <v>2577</v>
      </c>
      <c r="B63" s="3066">
        <v>0.6</v>
      </c>
      <c r="C63" s="3066">
        <v>0.3</v>
      </c>
      <c r="D63" s="3066">
        <v>0.25</v>
      </c>
      <c r="E63" s="3066">
        <v>0.25</v>
      </c>
      <c r="F63" s="3066">
        <v>0.25</v>
      </c>
      <c r="G63" s="3066">
        <v>0.15</v>
      </c>
    </row>
    <row r="64" spans="1:7" ht="19.5" customHeight="1">
      <c r="A64" s="3098" t="s">
        <v>2578</v>
      </c>
      <c r="B64" s="3066">
        <v>0.5</v>
      </c>
      <c r="C64" s="3066">
        <v>0.2</v>
      </c>
      <c r="D64" s="3066">
        <v>0.2</v>
      </c>
      <c r="E64" s="3066">
        <v>0.2</v>
      </c>
      <c r="F64" s="3066">
        <v>0.2</v>
      </c>
      <c r="G64" s="3066">
        <v>0.1</v>
      </c>
    </row>
    <row r="65" spans="1:7" ht="19.5" customHeight="1">
      <c r="A65" s="3098" t="s">
        <v>2579</v>
      </c>
      <c r="B65" s="3066">
        <v>0.5</v>
      </c>
      <c r="C65" s="3066">
        <v>0.2</v>
      </c>
      <c r="D65" s="3066">
        <v>0.2</v>
      </c>
      <c r="E65" s="3066">
        <v>0.2</v>
      </c>
      <c r="F65" s="3066">
        <v>0.2</v>
      </c>
      <c r="G65" s="3066">
        <v>0.1</v>
      </c>
    </row>
    <row r="66" spans="1:7" ht="19.5" customHeight="1">
      <c r="A66" s="3098" t="s">
        <v>2580</v>
      </c>
      <c r="B66" s="3066">
        <v>0.5</v>
      </c>
      <c r="C66" s="3066">
        <v>0.2</v>
      </c>
      <c r="D66" s="3066">
        <v>0.2</v>
      </c>
      <c r="E66" s="3066">
        <v>0.2</v>
      </c>
      <c r="F66" s="3066">
        <v>0.2</v>
      </c>
      <c r="G66" s="3066">
        <v>0.1</v>
      </c>
    </row>
    <row r="67" spans="1:7" ht="19.5" customHeight="1">
      <c r="A67" s="3098" t="s">
        <v>2581</v>
      </c>
      <c r="B67" s="3066">
        <v>0.5</v>
      </c>
      <c r="C67" s="3066">
        <v>0.2</v>
      </c>
      <c r="D67" s="3066">
        <v>0.2</v>
      </c>
      <c r="E67" s="3066">
        <v>0.2</v>
      </c>
      <c r="F67" s="3066">
        <v>0.2</v>
      </c>
      <c r="G67" s="3066">
        <v>0.1</v>
      </c>
    </row>
    <row r="68" spans="1:7" ht="19.5" customHeight="1">
      <c r="A68" s="3098" t="s">
        <v>2582</v>
      </c>
      <c r="B68" s="3066">
        <v>0.5</v>
      </c>
      <c r="C68" s="3066">
        <v>0.2</v>
      </c>
      <c r="D68" s="3066">
        <v>0.2</v>
      </c>
      <c r="E68" s="3066">
        <v>0.2</v>
      </c>
      <c r="F68" s="3066">
        <v>0.2</v>
      </c>
      <c r="G68" s="3066">
        <v>0.1</v>
      </c>
    </row>
    <row r="70" spans="1:7" ht="19.5" customHeight="1">
      <c r="A70" s="3099"/>
      <c r="B70" s="3100"/>
      <c r="C70" s="3100"/>
      <c r="D70" s="3100" t="s">
        <v>2619</v>
      </c>
      <c r="E70" s="3100"/>
      <c r="F70" s="3100"/>
    </row>
    <row r="71" spans="1:7" ht="19.5" customHeight="1">
      <c r="A71" s="3092" t="s">
        <v>2620</v>
      </c>
      <c r="B71" s="3092" t="s">
        <v>2621</v>
      </c>
      <c r="C71" s="3092" t="s">
        <v>2622</v>
      </c>
      <c r="D71" s="3092" t="s">
        <v>2623</v>
      </c>
      <c r="E71" s="3092" t="s">
        <v>2624</v>
      </c>
      <c r="F71" s="3092" t="s">
        <v>2625</v>
      </c>
    </row>
    <row r="72" spans="1:7" ht="13.5">
      <c r="A72" s="3092"/>
      <c r="B72" s="3092"/>
      <c r="C72" s="3092" t="s">
        <v>2626</v>
      </c>
      <c r="D72" s="3092"/>
      <c r="E72" s="3092" t="s">
        <v>2597</v>
      </c>
      <c r="F72" s="3092" t="s">
        <v>2597</v>
      </c>
    </row>
    <row r="73" spans="1:7" ht="13.5">
      <c r="A73" s="3092">
        <v>1</v>
      </c>
      <c r="B73" s="3806" t="s">
        <v>2627</v>
      </c>
      <c r="C73" s="3066" t="s">
        <v>2628</v>
      </c>
      <c r="D73" s="3066" t="s">
        <v>2629</v>
      </c>
      <c r="E73" s="3092">
        <v>0.2</v>
      </c>
      <c r="F73" s="3092">
        <v>25</v>
      </c>
    </row>
    <row r="74" spans="1:7" ht="24">
      <c r="A74" s="3092">
        <v>2</v>
      </c>
      <c r="B74" s="3801"/>
      <c r="C74" s="3066" t="s">
        <v>2630</v>
      </c>
      <c r="D74" s="3066" t="s">
        <v>2631</v>
      </c>
      <c r="E74" s="3092">
        <v>0.2</v>
      </c>
      <c r="F74" s="3092">
        <v>25</v>
      </c>
    </row>
    <row r="75" spans="1:7" ht="24">
      <c r="A75" s="3092">
        <v>3</v>
      </c>
      <c r="B75" s="3801"/>
      <c r="C75" s="3066" t="s">
        <v>2632</v>
      </c>
      <c r="D75" s="3066" t="s">
        <v>2633</v>
      </c>
      <c r="E75" s="3092">
        <v>0.2</v>
      </c>
      <c r="F75" s="3092">
        <v>25</v>
      </c>
    </row>
    <row r="76" spans="1:7" ht="13.5">
      <c r="A76" s="3092">
        <v>4</v>
      </c>
      <c r="B76" s="3801"/>
      <c r="C76" s="3066" t="s">
        <v>2634</v>
      </c>
      <c r="D76" s="3066" t="s">
        <v>2635</v>
      </c>
      <c r="E76" s="3092">
        <v>0.15</v>
      </c>
      <c r="F76" s="3092">
        <v>20</v>
      </c>
    </row>
    <row r="77" spans="1:7" ht="24">
      <c r="A77" s="3092">
        <v>5</v>
      </c>
      <c r="B77" s="3801"/>
      <c r="C77" s="3066" t="s">
        <v>2636</v>
      </c>
      <c r="D77" s="3066" t="s">
        <v>2637</v>
      </c>
      <c r="E77" s="3092">
        <v>0.15</v>
      </c>
      <c r="F77" s="3092">
        <v>20</v>
      </c>
    </row>
    <row r="78" spans="1:7" ht="24">
      <c r="A78" s="3092">
        <v>6</v>
      </c>
      <c r="B78" s="3801"/>
      <c r="C78" s="3066" t="s">
        <v>2638</v>
      </c>
      <c r="D78" s="3066" t="s">
        <v>2639</v>
      </c>
      <c r="E78" s="3092">
        <v>0.15</v>
      </c>
      <c r="F78" s="3092">
        <v>20</v>
      </c>
    </row>
    <row r="79" spans="1:7" ht="24">
      <c r="A79" s="3092">
        <v>7</v>
      </c>
      <c r="B79" s="3801"/>
      <c r="C79" s="3066" t="s">
        <v>2640</v>
      </c>
      <c r="D79" s="3066" t="s">
        <v>2641</v>
      </c>
      <c r="E79" s="3092">
        <v>0.15</v>
      </c>
      <c r="F79" s="3092">
        <v>20</v>
      </c>
    </row>
    <row r="80" spans="1:7" ht="24">
      <c r="A80" s="3092">
        <v>8</v>
      </c>
      <c r="B80" s="3801"/>
      <c r="C80" s="3066" t="s">
        <v>2642</v>
      </c>
      <c r="D80" s="3066" t="s">
        <v>2643</v>
      </c>
      <c r="E80" s="3092">
        <v>0.1</v>
      </c>
      <c r="F80" s="3092">
        <v>15</v>
      </c>
    </row>
    <row r="81" spans="1:6" ht="24">
      <c r="A81" s="3092">
        <v>9</v>
      </c>
      <c r="B81" s="3801"/>
      <c r="C81" s="3066" t="s">
        <v>2644</v>
      </c>
      <c r="D81" s="3066" t="s">
        <v>2645</v>
      </c>
      <c r="E81" s="3092">
        <v>0.1</v>
      </c>
      <c r="F81" s="3092">
        <v>15</v>
      </c>
    </row>
    <row r="82" spans="1:6" ht="24">
      <c r="A82" s="3092">
        <v>10</v>
      </c>
      <c r="B82" s="3801"/>
      <c r="C82" s="3066" t="s">
        <v>2646</v>
      </c>
      <c r="D82" s="3066" t="s">
        <v>2647</v>
      </c>
      <c r="E82" s="3092">
        <v>0.1</v>
      </c>
      <c r="F82" s="3092">
        <v>15</v>
      </c>
    </row>
    <row r="83" spans="1:6" ht="24">
      <c r="A83" s="3092">
        <v>11</v>
      </c>
      <c r="B83" s="3801"/>
      <c r="C83" s="3066" t="s">
        <v>2648</v>
      </c>
      <c r="D83" s="3066" t="s">
        <v>2649</v>
      </c>
      <c r="E83" s="3092">
        <v>0.1</v>
      </c>
      <c r="F83" s="3092">
        <v>15</v>
      </c>
    </row>
    <row r="84" spans="1:6" ht="24">
      <c r="A84" s="3092">
        <v>12</v>
      </c>
      <c r="B84" s="3801"/>
      <c r="C84" s="3066" t="s">
        <v>2650</v>
      </c>
      <c r="D84" s="3066" t="s">
        <v>2651</v>
      </c>
      <c r="E84" s="3092">
        <v>0.1</v>
      </c>
      <c r="F84" s="3092">
        <v>15</v>
      </c>
    </row>
    <row r="85" spans="1:6" ht="13.5">
      <c r="A85" s="3092">
        <v>13</v>
      </c>
      <c r="B85" s="3801"/>
      <c r="C85" s="3066" t="s">
        <v>2652</v>
      </c>
      <c r="D85" s="3066" t="s">
        <v>2653</v>
      </c>
      <c r="E85" s="3092">
        <v>0.1</v>
      </c>
      <c r="F85" s="3092">
        <v>15</v>
      </c>
    </row>
    <row r="86" spans="1:6" ht="13.5">
      <c r="A86" s="3092">
        <v>14</v>
      </c>
      <c r="B86" s="3801"/>
      <c r="C86" s="3066" t="s">
        <v>2654</v>
      </c>
      <c r="D86" s="3066" t="s">
        <v>2655</v>
      </c>
      <c r="E86" s="3092">
        <v>0.1</v>
      </c>
      <c r="F86" s="3092">
        <v>15</v>
      </c>
    </row>
    <row r="87" spans="1:6" ht="13.5">
      <c r="A87" s="3092">
        <v>15</v>
      </c>
      <c r="B87" s="3801"/>
      <c r="C87" s="3066" t="s">
        <v>2656</v>
      </c>
      <c r="D87" s="3066" t="s">
        <v>2657</v>
      </c>
      <c r="E87" s="3092">
        <v>0.1</v>
      </c>
      <c r="F87" s="3092">
        <v>15</v>
      </c>
    </row>
    <row r="88" spans="1:6" ht="24">
      <c r="A88" s="3092">
        <v>16</v>
      </c>
      <c r="B88" s="3801"/>
      <c r="C88" s="3066" t="s">
        <v>2658</v>
      </c>
      <c r="D88" s="3066" t="s">
        <v>2659</v>
      </c>
      <c r="E88" s="3092">
        <v>0.1</v>
      </c>
      <c r="F88" s="3092">
        <v>15</v>
      </c>
    </row>
    <row r="89" spans="1:6" ht="24">
      <c r="A89" s="3092">
        <v>17</v>
      </c>
      <c r="B89" s="3810"/>
      <c r="C89" s="3066" t="s">
        <v>2660</v>
      </c>
      <c r="D89" s="3066" t="s">
        <v>2661</v>
      </c>
      <c r="E89" s="3092">
        <v>0.1</v>
      </c>
      <c r="F89" s="3092">
        <v>15</v>
      </c>
    </row>
    <row r="90" spans="1:6" ht="13.5">
      <c r="A90" s="3092">
        <v>18</v>
      </c>
      <c r="B90" s="3806" t="s">
        <v>2662</v>
      </c>
      <c r="C90" s="3066" t="s">
        <v>2663</v>
      </c>
      <c r="D90" s="3066" t="s">
        <v>2664</v>
      </c>
      <c r="E90" s="3092">
        <v>0.2</v>
      </c>
      <c r="F90" s="3092">
        <v>25</v>
      </c>
    </row>
    <row r="91" spans="1:6" ht="24">
      <c r="A91" s="3092">
        <v>19</v>
      </c>
      <c r="B91" s="3801"/>
      <c r="C91" s="3066" t="s">
        <v>2665</v>
      </c>
      <c r="D91" s="3066" t="s">
        <v>2666</v>
      </c>
      <c r="E91" s="3092">
        <v>0.2</v>
      </c>
      <c r="F91" s="3092">
        <v>25</v>
      </c>
    </row>
    <row r="92" spans="1:6" ht="13.5">
      <c r="A92" s="3092">
        <v>20</v>
      </c>
      <c r="B92" s="3801"/>
      <c r="C92" s="3066" t="s">
        <v>2667</v>
      </c>
      <c r="D92" s="3066" t="s">
        <v>2668</v>
      </c>
      <c r="E92" s="3092">
        <v>0.15</v>
      </c>
      <c r="F92" s="3092">
        <v>20</v>
      </c>
    </row>
    <row r="93" spans="1:6" ht="13.5">
      <c r="A93" s="3092">
        <v>21</v>
      </c>
      <c r="B93" s="3801"/>
      <c r="C93" s="3066" t="s">
        <v>2669</v>
      </c>
      <c r="D93" s="3066" t="s">
        <v>2670</v>
      </c>
      <c r="E93" s="3092">
        <v>0.15</v>
      </c>
      <c r="F93" s="3092">
        <v>20</v>
      </c>
    </row>
    <row r="94" spans="1:6" ht="13.5">
      <c r="A94" s="3092">
        <v>22</v>
      </c>
      <c r="B94" s="3801"/>
      <c r="C94" s="3066" t="s">
        <v>2671</v>
      </c>
      <c r="D94" s="3066" t="s">
        <v>2672</v>
      </c>
      <c r="E94" s="3092">
        <v>0.15</v>
      </c>
      <c r="F94" s="3092">
        <v>20</v>
      </c>
    </row>
    <row r="95" spans="1:6" ht="36">
      <c r="A95" s="3092">
        <v>23</v>
      </c>
      <c r="B95" s="3801"/>
      <c r="C95" s="3066" t="s">
        <v>2673</v>
      </c>
      <c r="D95" s="3066" t="s">
        <v>2674</v>
      </c>
      <c r="E95" s="3092">
        <v>0.15</v>
      </c>
      <c r="F95" s="3092">
        <v>20</v>
      </c>
    </row>
    <row r="96" spans="1:6" ht="13.5">
      <c r="A96" s="3092">
        <v>24</v>
      </c>
      <c r="B96" s="3801"/>
      <c r="C96" s="3066" t="s">
        <v>2675</v>
      </c>
      <c r="D96" s="3066" t="s">
        <v>2676</v>
      </c>
      <c r="E96" s="3092">
        <v>0.1</v>
      </c>
      <c r="F96" s="3092">
        <v>15</v>
      </c>
    </row>
    <row r="97" spans="1:6" ht="13.5">
      <c r="A97" s="3092">
        <v>25</v>
      </c>
      <c r="B97" s="3801"/>
      <c r="C97" s="3066" t="s">
        <v>2677</v>
      </c>
      <c r="D97" s="3066" t="s">
        <v>2678</v>
      </c>
      <c r="E97" s="3092">
        <v>0.1</v>
      </c>
      <c r="F97" s="3092">
        <v>15</v>
      </c>
    </row>
    <row r="98" spans="1:6" ht="24">
      <c r="A98" s="3092">
        <v>26</v>
      </c>
      <c r="B98" s="3801"/>
      <c r="C98" s="3066" t="s">
        <v>2679</v>
      </c>
      <c r="D98" s="3066" t="s">
        <v>2680</v>
      </c>
      <c r="E98" s="3092">
        <v>0.1</v>
      </c>
      <c r="F98" s="3092">
        <v>15</v>
      </c>
    </row>
    <row r="99" spans="1:6" ht="24">
      <c r="A99" s="3092">
        <v>27</v>
      </c>
      <c r="B99" s="3801"/>
      <c r="C99" s="3066" t="s">
        <v>2681</v>
      </c>
      <c r="D99" s="3066" t="s">
        <v>2682</v>
      </c>
      <c r="E99" s="3092">
        <v>0.1</v>
      </c>
      <c r="F99" s="3092">
        <v>15</v>
      </c>
    </row>
    <row r="100" spans="1:6" ht="13.5">
      <c r="A100" s="3092">
        <v>28</v>
      </c>
      <c r="B100" s="3801"/>
      <c r="C100" s="3066" t="s">
        <v>2683</v>
      </c>
      <c r="D100" s="3066" t="s">
        <v>2684</v>
      </c>
      <c r="E100" s="3092">
        <v>0.1</v>
      </c>
      <c r="F100" s="3092">
        <v>15</v>
      </c>
    </row>
    <row r="101" spans="1:6" ht="13.5">
      <c r="A101" s="3092">
        <v>29</v>
      </c>
      <c r="B101" s="3801"/>
      <c r="C101" s="3066" t="s">
        <v>2685</v>
      </c>
      <c r="D101" s="3066" t="s">
        <v>2686</v>
      </c>
      <c r="E101" s="3092">
        <v>0.1</v>
      </c>
      <c r="F101" s="3092">
        <v>15</v>
      </c>
    </row>
    <row r="102" spans="1:6" ht="13.5">
      <c r="A102" s="3092">
        <v>30</v>
      </c>
      <c r="B102" s="3801"/>
      <c r="C102" s="3066" t="s">
        <v>2687</v>
      </c>
      <c r="D102" s="3066" t="s">
        <v>2688</v>
      </c>
      <c r="E102" s="3092">
        <v>0.1</v>
      </c>
      <c r="F102" s="3092">
        <v>15</v>
      </c>
    </row>
    <row r="103" spans="1:6" ht="24">
      <c r="A103" s="3092">
        <v>31</v>
      </c>
      <c r="B103" s="3801"/>
      <c r="C103" s="3066" t="s">
        <v>2689</v>
      </c>
      <c r="D103" s="3066" t="s">
        <v>2690</v>
      </c>
      <c r="E103" s="3092">
        <v>0.1</v>
      </c>
      <c r="F103" s="3092">
        <v>15</v>
      </c>
    </row>
    <row r="104" spans="1:6" ht="24">
      <c r="A104" s="3092">
        <v>32</v>
      </c>
      <c r="B104" s="3801"/>
      <c r="C104" s="3066" t="s">
        <v>2691</v>
      </c>
      <c r="D104" s="3066" t="s">
        <v>2692</v>
      </c>
      <c r="E104" s="3092">
        <v>0.1</v>
      </c>
      <c r="F104" s="3092">
        <v>15</v>
      </c>
    </row>
    <row r="105" spans="1:6" ht="24">
      <c r="A105" s="3092">
        <v>33</v>
      </c>
      <c r="B105" s="3801"/>
      <c r="C105" s="3066" t="s">
        <v>2693</v>
      </c>
      <c r="D105" s="3066" t="s">
        <v>2694</v>
      </c>
      <c r="E105" s="3092">
        <v>0.1</v>
      </c>
      <c r="F105" s="3092">
        <v>15</v>
      </c>
    </row>
    <row r="106" spans="1:6" ht="24">
      <c r="A106" s="3092">
        <v>34</v>
      </c>
      <c r="B106" s="3810"/>
      <c r="C106" s="3066" t="s">
        <v>2695</v>
      </c>
      <c r="D106" s="3066" t="s">
        <v>2696</v>
      </c>
      <c r="E106" s="3092">
        <v>0.1</v>
      </c>
      <c r="F106" s="3092">
        <v>15</v>
      </c>
    </row>
    <row r="107" spans="1:6" ht="24">
      <c r="A107" s="3092">
        <v>35</v>
      </c>
      <c r="B107" s="3806" t="s">
        <v>2697</v>
      </c>
      <c r="C107" s="3092" t="s">
        <v>2698</v>
      </c>
      <c r="D107" s="3066" t="s">
        <v>2699</v>
      </c>
      <c r="E107" s="3092">
        <v>0.15</v>
      </c>
      <c r="F107" s="3092">
        <v>20</v>
      </c>
    </row>
    <row r="108" spans="1:6" ht="13.5">
      <c r="A108" s="3092">
        <v>36</v>
      </c>
      <c r="B108" s="3801"/>
      <c r="C108" s="3092" t="s">
        <v>2700</v>
      </c>
      <c r="D108" s="3066" t="s">
        <v>2701</v>
      </c>
      <c r="E108" s="3092">
        <v>0.15</v>
      </c>
      <c r="F108" s="3092">
        <v>20</v>
      </c>
    </row>
    <row r="109" spans="1:6" ht="13.5">
      <c r="A109" s="3092">
        <v>37</v>
      </c>
      <c r="B109" s="3801"/>
      <c r="C109" s="3092" t="s">
        <v>2702</v>
      </c>
      <c r="D109" s="3066" t="s">
        <v>2703</v>
      </c>
      <c r="E109" s="3092">
        <v>0.15</v>
      </c>
      <c r="F109" s="3092">
        <v>20</v>
      </c>
    </row>
    <row r="110" spans="1:6" ht="13.5">
      <c r="A110" s="3092">
        <v>38</v>
      </c>
      <c r="B110" s="3801"/>
      <c r="C110" s="3092" t="s">
        <v>2704</v>
      </c>
      <c r="D110" s="3066" t="s">
        <v>2705</v>
      </c>
      <c r="E110" s="3092">
        <v>0.1</v>
      </c>
      <c r="F110" s="3092">
        <v>15</v>
      </c>
    </row>
    <row r="111" spans="1:6" ht="24">
      <c r="A111" s="3092">
        <v>39</v>
      </c>
      <c r="B111" s="3801"/>
      <c r="C111" s="3092" t="s">
        <v>2706</v>
      </c>
      <c r="D111" s="3066" t="s">
        <v>2707</v>
      </c>
      <c r="E111" s="3092">
        <v>0.1</v>
      </c>
      <c r="F111" s="3092">
        <v>15</v>
      </c>
    </row>
    <row r="112" spans="1:6" ht="24">
      <c r="A112" s="3092">
        <v>40</v>
      </c>
      <c r="B112" s="3810"/>
      <c r="C112" s="3092" t="s">
        <v>2708</v>
      </c>
      <c r="D112" s="3066" t="s">
        <v>2709</v>
      </c>
      <c r="E112" s="3092">
        <v>0.1</v>
      </c>
      <c r="F112" s="3092">
        <v>15</v>
      </c>
    </row>
    <row r="113" spans="1:6" ht="13.5">
      <c r="A113" s="3092">
        <v>41</v>
      </c>
      <c r="B113" s="3811" t="s">
        <v>2710</v>
      </c>
      <c r="C113" s="3092" t="s">
        <v>2711</v>
      </c>
      <c r="D113" s="3066" t="s">
        <v>2712</v>
      </c>
      <c r="E113" s="3092">
        <v>0.1</v>
      </c>
      <c r="F113" s="3092">
        <v>15</v>
      </c>
    </row>
    <row r="114" spans="1:6" ht="13.5">
      <c r="A114" s="3092">
        <v>42</v>
      </c>
      <c r="B114" s="3811"/>
      <c r="C114" s="3092" t="s">
        <v>2713</v>
      </c>
      <c r="D114" s="3066" t="s">
        <v>2714</v>
      </c>
      <c r="E114" s="3092">
        <v>0.1</v>
      </c>
      <c r="F114" s="3092">
        <v>15</v>
      </c>
    </row>
    <row r="115" spans="1:6" ht="24">
      <c r="A115" s="3092">
        <v>43</v>
      </c>
      <c r="B115" s="3811"/>
      <c r="C115" s="3092" t="s">
        <v>2715</v>
      </c>
      <c r="D115" s="3066" t="s">
        <v>2716</v>
      </c>
      <c r="E115" s="3092">
        <v>0.1</v>
      </c>
      <c r="F115" s="3092">
        <v>15</v>
      </c>
    </row>
    <row r="116" spans="1:6" ht="13.5">
      <c r="A116" s="3092">
        <v>44</v>
      </c>
      <c r="B116" s="3806" t="s">
        <v>2717</v>
      </c>
      <c r="C116" s="3092" t="s">
        <v>2718</v>
      </c>
      <c r="D116" s="3066" t="s">
        <v>2719</v>
      </c>
      <c r="E116" s="3092">
        <v>0.1</v>
      </c>
      <c r="F116" s="3092">
        <v>15</v>
      </c>
    </row>
    <row r="117" spans="1:6" ht="24">
      <c r="A117" s="3092">
        <v>45</v>
      </c>
      <c r="B117" s="3810"/>
      <c r="C117" s="3066" t="s">
        <v>2720</v>
      </c>
      <c r="D117" s="3066" t="s">
        <v>2721</v>
      </c>
      <c r="E117" s="3092">
        <v>0.1</v>
      </c>
      <c r="F117" s="3092">
        <v>15</v>
      </c>
    </row>
    <row r="118" spans="1:6" ht="24">
      <c r="A118" s="3092">
        <v>46</v>
      </c>
      <c r="B118" s="3806" t="s">
        <v>2722</v>
      </c>
      <c r="C118" s="3092" t="s">
        <v>2723</v>
      </c>
      <c r="D118" s="3066" t="s">
        <v>2724</v>
      </c>
      <c r="E118" s="3092">
        <v>0.1</v>
      </c>
      <c r="F118" s="3092">
        <v>15</v>
      </c>
    </row>
    <row r="119" spans="1:6" ht="24">
      <c r="A119" s="3092">
        <v>47</v>
      </c>
      <c r="B119" s="3810"/>
      <c r="C119" s="3092" t="s">
        <v>2725</v>
      </c>
      <c r="D119" s="3066" t="s">
        <v>2726</v>
      </c>
      <c r="E119" s="3092">
        <v>0.1</v>
      </c>
      <c r="F119" s="3092">
        <v>15</v>
      </c>
    </row>
    <row r="120" spans="1:6" ht="13.5">
      <c r="A120" s="3092">
        <v>48</v>
      </c>
      <c r="B120" s="3806" t="s">
        <v>2727</v>
      </c>
      <c r="C120" s="3092" t="s">
        <v>2728</v>
      </c>
      <c r="D120" s="3066" t="s">
        <v>2729</v>
      </c>
      <c r="E120" s="3092">
        <v>0.1</v>
      </c>
      <c r="F120" s="3092">
        <v>15</v>
      </c>
    </row>
    <row r="121" spans="1:6" ht="13.5">
      <c r="A121" s="3092">
        <v>49</v>
      </c>
      <c r="B121" s="3810"/>
      <c r="C121" s="3092" t="s">
        <v>2730</v>
      </c>
      <c r="D121" s="3066" t="s">
        <v>2731</v>
      </c>
      <c r="E121" s="3092">
        <v>0.1</v>
      </c>
      <c r="F121" s="3092">
        <v>15</v>
      </c>
    </row>
    <row r="122" spans="1:6" ht="24">
      <c r="A122" s="3092">
        <v>50</v>
      </c>
      <c r="B122" s="3811" t="s">
        <v>2732</v>
      </c>
      <c r="C122" s="3092" t="s">
        <v>2733</v>
      </c>
      <c r="D122" s="3066" t="s">
        <v>2734</v>
      </c>
      <c r="E122" s="3092">
        <v>0.1</v>
      </c>
      <c r="F122" s="3092">
        <v>15</v>
      </c>
    </row>
    <row r="123" spans="1:6" ht="24">
      <c r="A123" s="3092">
        <v>51</v>
      </c>
      <c r="B123" s="3811"/>
      <c r="C123" s="3092" t="s">
        <v>2735</v>
      </c>
      <c r="D123" s="3066" t="s">
        <v>2736</v>
      </c>
      <c r="E123" s="3092">
        <v>0.1</v>
      </c>
      <c r="F123" s="3092">
        <v>15</v>
      </c>
    </row>
    <row r="124" spans="1:6" ht="24">
      <c r="A124" s="3092">
        <v>52</v>
      </c>
      <c r="B124" s="3811" t="s">
        <v>2737</v>
      </c>
      <c r="C124" s="3092" t="s">
        <v>2738</v>
      </c>
      <c r="D124" s="3066" t="s">
        <v>2739</v>
      </c>
      <c r="E124" s="3092">
        <v>0.1</v>
      </c>
      <c r="F124" s="3092">
        <v>15</v>
      </c>
    </row>
    <row r="125" spans="1:6" ht="24">
      <c r="A125" s="3092">
        <v>53</v>
      </c>
      <c r="B125" s="3811"/>
      <c r="C125" s="3092" t="s">
        <v>2740</v>
      </c>
      <c r="D125" s="3066" t="s">
        <v>2741</v>
      </c>
      <c r="E125" s="3092">
        <v>0.1</v>
      </c>
      <c r="F125" s="3092">
        <v>15</v>
      </c>
    </row>
    <row r="126" spans="1:6" ht="13.5">
      <c r="A126" s="3092">
        <v>54</v>
      </c>
      <c r="B126" s="3092" t="s">
        <v>2742</v>
      </c>
      <c r="C126" s="3092" t="s">
        <v>2743</v>
      </c>
      <c r="D126" s="3066" t="s">
        <v>2744</v>
      </c>
      <c r="E126" s="3092">
        <v>0.1</v>
      </c>
      <c r="F126" s="3092">
        <v>15</v>
      </c>
    </row>
    <row r="127" spans="1:6" ht="13.5">
      <c r="A127" s="3092">
        <v>55</v>
      </c>
      <c r="B127" s="3811" t="s">
        <v>2745</v>
      </c>
      <c r="C127" s="3092" t="s">
        <v>2746</v>
      </c>
      <c r="D127" s="3066" t="s">
        <v>2747</v>
      </c>
      <c r="E127" s="3092">
        <v>0.1</v>
      </c>
      <c r="F127" s="3092">
        <v>15</v>
      </c>
    </row>
    <row r="128" spans="1:6" ht="13.5">
      <c r="A128" s="3092">
        <v>56</v>
      </c>
      <c r="B128" s="3811"/>
      <c r="C128" s="3092" t="s">
        <v>2748</v>
      </c>
      <c r="D128" s="3066" t="s">
        <v>2749</v>
      </c>
      <c r="E128" s="3092">
        <v>0.1</v>
      </c>
      <c r="F128" s="3092">
        <v>15</v>
      </c>
    </row>
    <row r="129" spans="1:6" ht="24">
      <c r="A129" s="3092">
        <v>57</v>
      </c>
      <c r="B129" s="3811"/>
      <c r="C129" s="3092" t="s">
        <v>2750</v>
      </c>
      <c r="D129" s="3066" t="s">
        <v>2751</v>
      </c>
      <c r="E129" s="3092">
        <v>0.1</v>
      </c>
      <c r="F129" s="3092">
        <v>15</v>
      </c>
    </row>
    <row r="130" spans="1:6" ht="24">
      <c r="A130" s="3092">
        <v>58</v>
      </c>
      <c r="B130" s="3811" t="s">
        <v>2752</v>
      </c>
      <c r="C130" s="3092" t="s">
        <v>2753</v>
      </c>
      <c r="D130" s="3066" t="s">
        <v>2754</v>
      </c>
      <c r="E130" s="3092">
        <v>0.1</v>
      </c>
      <c r="F130" s="3092">
        <v>15</v>
      </c>
    </row>
    <row r="131" spans="1:6" ht="13.5">
      <c r="A131" s="3092">
        <v>59</v>
      </c>
      <c r="B131" s="3811"/>
      <c r="C131" s="3092" t="s">
        <v>2755</v>
      </c>
      <c r="D131" s="3066" t="s">
        <v>2756</v>
      </c>
      <c r="E131" s="3092">
        <v>0.1</v>
      </c>
      <c r="F131" s="3092">
        <v>15</v>
      </c>
    </row>
    <row r="132" spans="1:6" ht="13.5">
      <c r="A132" s="3092">
        <v>60</v>
      </c>
      <c r="B132" s="3806" t="s">
        <v>2757</v>
      </c>
      <c r="C132" s="3092" t="s">
        <v>2758</v>
      </c>
      <c r="D132" s="3066" t="s">
        <v>2759</v>
      </c>
      <c r="E132" s="3092">
        <v>0.1</v>
      </c>
      <c r="F132" s="3092">
        <v>15</v>
      </c>
    </row>
    <row r="133" spans="1:6" ht="13.5">
      <c r="A133" s="3092">
        <v>61</v>
      </c>
      <c r="B133" s="3810"/>
      <c r="C133" s="3092" t="s">
        <v>2760</v>
      </c>
      <c r="D133" s="3066" t="s">
        <v>2761</v>
      </c>
      <c r="E133" s="3092">
        <v>0.1</v>
      </c>
      <c r="F133" s="3092">
        <v>15</v>
      </c>
    </row>
    <row r="134" spans="1:6" ht="24">
      <c r="A134" s="3092">
        <v>62</v>
      </c>
      <c r="B134" s="3092" t="s">
        <v>2762</v>
      </c>
      <c r="C134" s="3092" t="s">
        <v>2763</v>
      </c>
      <c r="D134" s="3066" t="s">
        <v>2764</v>
      </c>
      <c r="E134" s="3092">
        <v>0.1</v>
      </c>
      <c r="F134" s="3092">
        <v>15</v>
      </c>
    </row>
    <row r="135" spans="1:6" ht="13.5">
      <c r="A135" s="3092">
        <v>63</v>
      </c>
      <c r="B135" s="3811" t="s">
        <v>2765</v>
      </c>
      <c r="C135" s="3092" t="s">
        <v>2766</v>
      </c>
      <c r="D135" s="3066" t="s">
        <v>2767</v>
      </c>
      <c r="E135" s="3092">
        <v>0.1</v>
      </c>
      <c r="F135" s="3092">
        <v>15</v>
      </c>
    </row>
    <row r="136" spans="1:6" ht="13.5">
      <c r="A136" s="3092">
        <v>64</v>
      </c>
      <c r="B136" s="3811"/>
      <c r="C136" s="3092" t="s">
        <v>2768</v>
      </c>
      <c r="D136" s="3066" t="s">
        <v>2769</v>
      </c>
      <c r="E136" s="3092">
        <v>0.1</v>
      </c>
      <c r="F136" s="3092">
        <v>15</v>
      </c>
    </row>
    <row r="137" spans="1:6" ht="13.5">
      <c r="A137" s="3092">
        <v>65</v>
      </c>
      <c r="B137" s="3092" t="s">
        <v>2770</v>
      </c>
      <c r="C137" s="3092" t="s">
        <v>2771</v>
      </c>
      <c r="D137" s="3066" t="s">
        <v>2772</v>
      </c>
      <c r="E137" s="3092">
        <v>0.1</v>
      </c>
      <c r="F137" s="3092">
        <v>15</v>
      </c>
    </row>
    <row r="138" spans="1:6" ht="13.5">
      <c r="A138" s="3092"/>
      <c r="B138" s="3092"/>
      <c r="C138" s="3092"/>
      <c r="D138" s="3092"/>
      <c r="E138" s="3092" t="s">
        <v>2773</v>
      </c>
      <c r="F138" s="3092" t="s">
        <v>2773</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5"/>
    <col min="14" max="16384" width="9" style="750"/>
  </cols>
  <sheetData>
    <row r="1" spans="1:20" ht="15" thickBot="1">
      <c r="A1" s="3101" t="s">
        <v>2774</v>
      </c>
      <c r="B1" s="3101"/>
      <c r="C1" s="3101"/>
      <c r="D1" s="3101"/>
      <c r="E1" s="3101"/>
      <c r="F1" s="3101"/>
      <c r="G1" s="3101"/>
      <c r="H1" s="3101"/>
      <c r="I1" s="3101"/>
      <c r="J1" s="3101"/>
      <c r="K1" s="3101"/>
      <c r="L1" s="3101"/>
      <c r="M1" s="3101"/>
      <c r="N1" s="749"/>
    </row>
    <row r="2" spans="1:20">
      <c r="A2" s="3102" t="s">
        <v>2775</v>
      </c>
      <c r="B2" s="3103" t="s">
        <v>2571</v>
      </c>
      <c r="C2" s="3103" t="s">
        <v>2572</v>
      </c>
      <c r="D2" s="3103" t="s">
        <v>2573</v>
      </c>
      <c r="E2" s="3103" t="s">
        <v>2574</v>
      </c>
      <c r="F2" s="3103" t="s">
        <v>2575</v>
      </c>
      <c r="G2" s="3103" t="s">
        <v>2576</v>
      </c>
      <c r="H2" s="3104" t="s">
        <v>2577</v>
      </c>
      <c r="I2" s="3104" t="s">
        <v>2578</v>
      </c>
      <c r="J2" s="3105" t="s">
        <v>2579</v>
      </c>
      <c r="K2" s="3105" t="s">
        <v>2580</v>
      </c>
      <c r="L2" s="3105" t="s">
        <v>2581</v>
      </c>
      <c r="M2" s="3106" t="s">
        <v>2582</v>
      </c>
      <c r="Q2" s="3116" t="s">
        <v>2780</v>
      </c>
      <c r="R2" s="3116" t="s">
        <v>2781</v>
      </c>
      <c r="S2" s="3116" t="s">
        <v>2782</v>
      </c>
      <c r="T2" s="3116" t="s">
        <v>2783</v>
      </c>
    </row>
    <row r="3" spans="1:20">
      <c r="A3" s="3107">
        <v>1</v>
      </c>
      <c r="B3" s="3108">
        <v>1.2574000000000001</v>
      </c>
      <c r="C3" s="3108">
        <v>1.2574000000000001</v>
      </c>
      <c r="D3" s="3108">
        <v>1.2299</v>
      </c>
      <c r="E3" s="3108">
        <v>1.2299</v>
      </c>
      <c r="F3" s="3108">
        <v>1.2299</v>
      </c>
      <c r="G3" s="3108">
        <v>1.2299</v>
      </c>
      <c r="H3" s="3108">
        <v>1.2299</v>
      </c>
      <c r="I3" s="3108">
        <v>1.2333000000000001</v>
      </c>
      <c r="J3" s="3108">
        <v>1.2333000000000001</v>
      </c>
      <c r="K3" s="3108">
        <v>1.2333000000000001</v>
      </c>
      <c r="L3" s="3108">
        <v>1.2333000000000001</v>
      </c>
      <c r="M3" s="3109">
        <v>1.2333000000000001</v>
      </c>
      <c r="N3" s="751"/>
      <c r="Q3" s="3116">
        <v>10</v>
      </c>
      <c r="R3" s="3116">
        <f>ROUND(0.9968-0.011*Q3,4)</f>
        <v>0.88680000000000003</v>
      </c>
      <c r="S3" s="3116">
        <f>ROUND(0.949-0.014*Q3,4)</f>
        <v>0.80900000000000005</v>
      </c>
      <c r="T3" s="3116">
        <f>ROUND(0.8486-0.018*Q3,4)</f>
        <v>0.66859999999999997</v>
      </c>
    </row>
    <row r="4" spans="1:20">
      <c r="A4" s="3107">
        <v>1.1000000000000001</v>
      </c>
      <c r="B4" s="3108">
        <v>1.2283999999999999</v>
      </c>
      <c r="C4" s="3108">
        <v>1.2283999999999999</v>
      </c>
      <c r="D4" s="3108">
        <v>1.1984999999999999</v>
      </c>
      <c r="E4" s="3108">
        <v>1.1984999999999999</v>
      </c>
      <c r="F4" s="3108">
        <v>1.1984999999999999</v>
      </c>
      <c r="G4" s="3108">
        <v>1.1984999999999999</v>
      </c>
      <c r="H4" s="3108">
        <v>1.1984999999999999</v>
      </c>
      <c r="I4" s="3108">
        <v>1.1899</v>
      </c>
      <c r="J4" s="3108">
        <v>1.1899</v>
      </c>
      <c r="K4" s="3108">
        <v>1.1899</v>
      </c>
      <c r="L4" s="3108">
        <v>1.1899</v>
      </c>
      <c r="M4" s="3109">
        <v>1.1899</v>
      </c>
    </row>
    <row r="5" spans="1:20">
      <c r="A5" s="3107">
        <v>1.2</v>
      </c>
      <c r="B5" s="3108">
        <v>1.2031000000000001</v>
      </c>
      <c r="C5" s="3108">
        <v>1.2031000000000001</v>
      </c>
      <c r="D5" s="3108">
        <v>1.1711</v>
      </c>
      <c r="E5" s="3108">
        <v>1.1711</v>
      </c>
      <c r="F5" s="3108">
        <v>1.1711</v>
      </c>
      <c r="G5" s="3108">
        <v>1.1711</v>
      </c>
      <c r="H5" s="3108">
        <v>1.1711</v>
      </c>
      <c r="I5" s="3108">
        <v>1.1528</v>
      </c>
      <c r="J5" s="3108">
        <v>1.1528</v>
      </c>
      <c r="K5" s="3108">
        <v>1.1528</v>
      </c>
      <c r="L5" s="3108">
        <v>1.1528</v>
      </c>
      <c r="M5" s="3109">
        <v>1.1528</v>
      </c>
    </row>
    <row r="6" spans="1:20">
      <c r="A6" s="3107">
        <v>1.3</v>
      </c>
      <c r="B6" s="3108">
        <v>1.1811</v>
      </c>
      <c r="C6" s="3108">
        <v>1.1811</v>
      </c>
      <c r="D6" s="3108">
        <v>1.1472</v>
      </c>
      <c r="E6" s="3108">
        <v>1.1472</v>
      </c>
      <c r="F6" s="3108">
        <v>1.1472</v>
      </c>
      <c r="G6" s="3108">
        <v>1.1472</v>
      </c>
      <c r="H6" s="3108">
        <v>1.1472</v>
      </c>
      <c r="I6" s="3108">
        <v>1.1214</v>
      </c>
      <c r="J6" s="3108">
        <v>1.1214</v>
      </c>
      <c r="K6" s="3108">
        <v>1.1214</v>
      </c>
      <c r="L6" s="3108">
        <v>1.1214</v>
      </c>
      <c r="M6" s="3109">
        <v>1.1214</v>
      </c>
    </row>
    <row r="7" spans="1:20">
      <c r="A7" s="3107">
        <v>1.4</v>
      </c>
      <c r="B7" s="3108">
        <v>1.1619999999999999</v>
      </c>
      <c r="C7" s="3108">
        <v>1.1619999999999999</v>
      </c>
      <c r="D7" s="3108">
        <v>1.1265000000000001</v>
      </c>
      <c r="E7" s="3108">
        <v>1.1265000000000001</v>
      </c>
      <c r="F7" s="3108">
        <v>1.1265000000000001</v>
      </c>
      <c r="G7" s="3108">
        <v>1.1265000000000001</v>
      </c>
      <c r="H7" s="3108">
        <v>1.1265000000000001</v>
      </c>
      <c r="I7" s="3108">
        <v>1.0948</v>
      </c>
      <c r="J7" s="3108">
        <v>1.0948</v>
      </c>
      <c r="K7" s="3108">
        <v>1.0948</v>
      </c>
      <c r="L7" s="3108">
        <v>1.0948</v>
      </c>
      <c r="M7" s="3109">
        <v>1.0948</v>
      </c>
    </row>
    <row r="8" spans="1:20">
      <c r="A8" s="3107">
        <v>1.5</v>
      </c>
      <c r="B8" s="3108">
        <v>1.1453</v>
      </c>
      <c r="C8" s="3108">
        <v>1.1453</v>
      </c>
      <c r="D8" s="3108">
        <v>1.1084000000000001</v>
      </c>
      <c r="E8" s="3108">
        <v>1.1084000000000001</v>
      </c>
      <c r="F8" s="3108">
        <v>1.1084000000000001</v>
      </c>
      <c r="G8" s="3108">
        <v>1.1084000000000001</v>
      </c>
      <c r="H8" s="3108">
        <v>1.1084000000000001</v>
      </c>
      <c r="I8" s="3108">
        <v>1.0725</v>
      </c>
      <c r="J8" s="3108">
        <v>1.0725</v>
      </c>
      <c r="K8" s="3108">
        <v>1.0725</v>
      </c>
      <c r="L8" s="3108">
        <v>1.0725</v>
      </c>
      <c r="M8" s="3109">
        <v>1.0725</v>
      </c>
    </row>
    <row r="9" spans="1:20">
      <c r="A9" s="3107">
        <v>1.6</v>
      </c>
      <c r="B9" s="3108">
        <v>1.1306</v>
      </c>
      <c r="C9" s="3108">
        <v>1.1306</v>
      </c>
      <c r="D9" s="3108">
        <v>1.0924</v>
      </c>
      <c r="E9" s="3108">
        <v>1.0924</v>
      </c>
      <c r="F9" s="3108">
        <v>1.0924</v>
      </c>
      <c r="G9" s="3108">
        <v>1.0924</v>
      </c>
      <c r="H9" s="3108">
        <v>1.0924</v>
      </c>
      <c r="I9" s="3108">
        <v>1.0538000000000001</v>
      </c>
      <c r="J9" s="3108">
        <v>1.0538000000000001</v>
      </c>
      <c r="K9" s="3108">
        <v>1.0538000000000001</v>
      </c>
      <c r="L9" s="3108">
        <v>1.0538000000000001</v>
      </c>
      <c r="M9" s="3109">
        <v>1.0538000000000001</v>
      </c>
    </row>
    <row r="10" spans="1:20">
      <c r="A10" s="3107">
        <v>1.7</v>
      </c>
      <c r="B10" s="3108">
        <v>1.1175999999999999</v>
      </c>
      <c r="C10" s="3108">
        <v>1.1175999999999999</v>
      </c>
      <c r="D10" s="3108">
        <v>1.0783</v>
      </c>
      <c r="E10" s="3108">
        <v>1.0783</v>
      </c>
      <c r="F10" s="3108">
        <v>1.0783</v>
      </c>
      <c r="G10" s="3108">
        <v>1.0783</v>
      </c>
      <c r="H10" s="3108">
        <v>1.0783</v>
      </c>
      <c r="I10" s="3108">
        <v>1.0379</v>
      </c>
      <c r="J10" s="3108">
        <v>1.0379</v>
      </c>
      <c r="K10" s="3108">
        <v>1.0379</v>
      </c>
      <c r="L10" s="3108">
        <v>1.0379</v>
      </c>
      <c r="M10" s="3109">
        <v>1.0379</v>
      </c>
    </row>
    <row r="11" spans="1:20">
      <c r="A11" s="3107">
        <v>1.8</v>
      </c>
      <c r="B11" s="3108">
        <v>1.1057999999999999</v>
      </c>
      <c r="C11" s="3108">
        <v>1.1057999999999999</v>
      </c>
      <c r="D11" s="3108">
        <v>1.0653999999999999</v>
      </c>
      <c r="E11" s="3108">
        <v>1.0653999999999999</v>
      </c>
      <c r="F11" s="3108">
        <v>1.0653999999999999</v>
      </c>
      <c r="G11" s="3108">
        <v>1.0653999999999999</v>
      </c>
      <c r="H11" s="3108">
        <v>1.0653999999999999</v>
      </c>
      <c r="I11" s="3108">
        <v>1.0241</v>
      </c>
      <c r="J11" s="3108">
        <v>1.0241</v>
      </c>
      <c r="K11" s="3108">
        <v>1.0241</v>
      </c>
      <c r="L11" s="3108">
        <v>1.0241</v>
      </c>
      <c r="M11" s="3109">
        <v>1.0241</v>
      </c>
    </row>
    <row r="12" spans="1:20">
      <c r="A12" s="3107">
        <v>1.9</v>
      </c>
      <c r="B12" s="3108">
        <v>1.0949</v>
      </c>
      <c r="C12" s="3108">
        <v>1.0949</v>
      </c>
      <c r="D12" s="3108">
        <v>1.0537000000000001</v>
      </c>
      <c r="E12" s="3108">
        <v>1.0537000000000001</v>
      </c>
      <c r="F12" s="3108">
        <v>1.0537000000000001</v>
      </c>
      <c r="G12" s="3108">
        <v>1.0537000000000001</v>
      </c>
      <c r="H12" s="3108">
        <v>1.0537000000000001</v>
      </c>
      <c r="I12" s="3108">
        <v>1.0117</v>
      </c>
      <c r="J12" s="3108">
        <v>1.0117</v>
      </c>
      <c r="K12" s="3108">
        <v>1.0117</v>
      </c>
      <c r="L12" s="3108">
        <v>1.0117</v>
      </c>
      <c r="M12" s="3109">
        <v>1.0117</v>
      </c>
    </row>
    <row r="13" spans="1:20">
      <c r="A13" s="3107">
        <v>2</v>
      </c>
      <c r="B13" s="3108">
        <v>1.0847</v>
      </c>
      <c r="C13" s="3108">
        <v>1.0847</v>
      </c>
      <c r="D13" s="3108">
        <v>1.0427</v>
      </c>
      <c r="E13" s="3108">
        <v>1.0427</v>
      </c>
      <c r="F13" s="3108">
        <v>1.0427</v>
      </c>
      <c r="G13" s="3108">
        <v>1.0427</v>
      </c>
      <c r="H13" s="3108">
        <v>1.0427</v>
      </c>
      <c r="I13" s="3108">
        <v>1</v>
      </c>
      <c r="J13" s="3108">
        <v>1</v>
      </c>
      <c r="K13" s="3108">
        <v>1</v>
      </c>
      <c r="L13" s="3108">
        <v>1</v>
      </c>
      <c r="M13" s="3109">
        <v>1</v>
      </c>
    </row>
    <row r="14" spans="1:20">
      <c r="A14" s="3110">
        <v>2.1</v>
      </c>
      <c r="B14" s="3108">
        <v>1.0749</v>
      </c>
      <c r="C14" s="3108">
        <v>1.0749</v>
      </c>
      <c r="D14" s="3108">
        <v>1.0327999999999999</v>
      </c>
      <c r="E14" s="3108">
        <v>1.0327999999999999</v>
      </c>
      <c r="F14" s="3108">
        <v>1.0327999999999999</v>
      </c>
      <c r="G14" s="3108">
        <v>1.0327999999999999</v>
      </c>
      <c r="H14" s="3108">
        <v>1.0327999999999999</v>
      </c>
      <c r="I14" s="3108">
        <v>0.98819999999999997</v>
      </c>
      <c r="J14" s="3108">
        <v>0.98819999999999997</v>
      </c>
      <c r="K14" s="3108">
        <v>0.98819999999999997</v>
      </c>
      <c r="L14" s="3108">
        <v>0.98819999999999997</v>
      </c>
      <c r="M14" s="3109">
        <v>0.98819999999999997</v>
      </c>
    </row>
    <row r="15" spans="1:20">
      <c r="A15" s="3110">
        <v>2.2000000000000002</v>
      </c>
      <c r="B15" s="3108">
        <v>1.0663</v>
      </c>
      <c r="C15" s="3108">
        <v>1.0663</v>
      </c>
      <c r="D15" s="3108">
        <v>1.0237000000000001</v>
      </c>
      <c r="E15" s="3108">
        <v>1.0237000000000001</v>
      </c>
      <c r="F15" s="3108">
        <v>1.0237000000000001</v>
      </c>
      <c r="G15" s="3108">
        <v>1.0237000000000001</v>
      </c>
      <c r="H15" s="3108">
        <v>1.0237000000000001</v>
      </c>
      <c r="I15" s="3108">
        <v>0.9768</v>
      </c>
      <c r="J15" s="3108">
        <v>0.9768</v>
      </c>
      <c r="K15" s="3108">
        <v>0.9768</v>
      </c>
      <c r="L15" s="3108">
        <v>0.9768</v>
      </c>
      <c r="M15" s="3109">
        <v>0.9768</v>
      </c>
    </row>
    <row r="16" spans="1:20">
      <c r="A16" s="3110">
        <v>2.2999999999999998</v>
      </c>
      <c r="B16" s="3108">
        <v>1.0584</v>
      </c>
      <c r="C16" s="3108">
        <v>1.0584</v>
      </c>
      <c r="D16" s="3108">
        <v>1.0152000000000001</v>
      </c>
      <c r="E16" s="3108">
        <v>1.0152000000000001</v>
      </c>
      <c r="F16" s="3108">
        <v>1.0152000000000001</v>
      </c>
      <c r="G16" s="3108">
        <v>1.0152000000000001</v>
      </c>
      <c r="H16" s="3108">
        <v>1.0152000000000001</v>
      </c>
      <c r="I16" s="3108">
        <v>0.96609999999999996</v>
      </c>
      <c r="J16" s="3108">
        <v>0.96609999999999996</v>
      </c>
      <c r="K16" s="3108">
        <v>0.96609999999999996</v>
      </c>
      <c r="L16" s="3108">
        <v>0.96609999999999996</v>
      </c>
      <c r="M16" s="3109">
        <v>0.96609999999999996</v>
      </c>
      <c r="N16" s="751"/>
    </row>
    <row r="17" spans="1:14">
      <c r="A17" s="3110">
        <v>2.4</v>
      </c>
      <c r="B17" s="3108">
        <v>1.0511999999999999</v>
      </c>
      <c r="C17" s="3108">
        <v>1.0511999999999999</v>
      </c>
      <c r="D17" s="3108">
        <v>1.0074000000000001</v>
      </c>
      <c r="E17" s="3108">
        <v>1.0074000000000001</v>
      </c>
      <c r="F17" s="3108">
        <v>1.0074000000000001</v>
      </c>
      <c r="G17" s="3108">
        <v>1.0074000000000001</v>
      </c>
      <c r="H17" s="3108">
        <v>1.0074000000000001</v>
      </c>
      <c r="I17" s="3108">
        <v>0.95579999999999998</v>
      </c>
      <c r="J17" s="3108">
        <v>0.95579999999999998</v>
      </c>
      <c r="K17" s="3108">
        <v>0.95579999999999998</v>
      </c>
      <c r="L17" s="3108">
        <v>0.95579999999999998</v>
      </c>
      <c r="M17" s="3109">
        <v>0.95579999999999998</v>
      </c>
      <c r="N17" s="751"/>
    </row>
    <row r="18" spans="1:14">
      <c r="A18" s="3110">
        <v>2.5</v>
      </c>
      <c r="B18" s="3108">
        <v>1.0445</v>
      </c>
      <c r="C18" s="3108">
        <v>1.0445</v>
      </c>
      <c r="D18" s="3108">
        <v>1</v>
      </c>
      <c r="E18" s="3108">
        <v>1</v>
      </c>
      <c r="F18" s="3108">
        <v>1</v>
      </c>
      <c r="G18" s="3108">
        <v>1</v>
      </c>
      <c r="H18" s="3108">
        <v>1</v>
      </c>
      <c r="I18" s="3108">
        <v>0.94620000000000004</v>
      </c>
      <c r="J18" s="3108">
        <v>0.94620000000000004</v>
      </c>
      <c r="K18" s="3108">
        <v>0.94620000000000004</v>
      </c>
      <c r="L18" s="3108">
        <v>0.94620000000000004</v>
      </c>
      <c r="M18" s="3109">
        <v>0.94620000000000004</v>
      </c>
    </row>
    <row r="19" spans="1:14">
      <c r="A19" s="3110">
        <v>2.6</v>
      </c>
      <c r="B19" s="3108">
        <v>1.0386</v>
      </c>
      <c r="C19" s="3108">
        <v>1.0386</v>
      </c>
      <c r="D19" s="3108">
        <v>0.99350000000000005</v>
      </c>
      <c r="E19" s="3108">
        <v>0.99350000000000005</v>
      </c>
      <c r="F19" s="3108">
        <v>0.99350000000000005</v>
      </c>
      <c r="G19" s="3108">
        <v>0.99350000000000005</v>
      </c>
      <c r="H19" s="3108">
        <v>0.99350000000000005</v>
      </c>
      <c r="I19" s="3108">
        <v>0.93710000000000004</v>
      </c>
      <c r="J19" s="3108">
        <v>0.93710000000000004</v>
      </c>
      <c r="K19" s="3108">
        <v>0.93710000000000004</v>
      </c>
      <c r="L19" s="3108">
        <v>0.93710000000000004</v>
      </c>
      <c r="M19" s="3109">
        <v>0.93710000000000004</v>
      </c>
    </row>
    <row r="20" spans="1:14">
      <c r="A20" s="3110">
        <v>2.7</v>
      </c>
      <c r="B20" s="3108">
        <v>1.0331999999999999</v>
      </c>
      <c r="C20" s="3108">
        <v>1.0331999999999999</v>
      </c>
      <c r="D20" s="3108">
        <v>0.98770000000000002</v>
      </c>
      <c r="E20" s="3108">
        <v>0.98770000000000002</v>
      </c>
      <c r="F20" s="3108">
        <v>0.98770000000000002</v>
      </c>
      <c r="G20" s="3108">
        <v>0.98770000000000002</v>
      </c>
      <c r="H20" s="3108">
        <v>0.98770000000000002</v>
      </c>
      <c r="I20" s="3108">
        <v>0.92859999999999998</v>
      </c>
      <c r="J20" s="3108">
        <v>0.92859999999999998</v>
      </c>
      <c r="K20" s="3108">
        <v>0.92859999999999998</v>
      </c>
      <c r="L20" s="3108">
        <v>0.92859999999999998</v>
      </c>
      <c r="M20" s="3109">
        <v>0.92859999999999998</v>
      </c>
    </row>
    <row r="21" spans="1:14">
      <c r="A21" s="3110">
        <v>2.8</v>
      </c>
      <c r="B21" s="3108">
        <v>1.0282</v>
      </c>
      <c r="C21" s="3108">
        <v>1.0282</v>
      </c>
      <c r="D21" s="3108">
        <v>0.98260000000000003</v>
      </c>
      <c r="E21" s="3108">
        <v>0.98260000000000003</v>
      </c>
      <c r="F21" s="3108">
        <v>0.98260000000000003</v>
      </c>
      <c r="G21" s="3108">
        <v>0.98260000000000003</v>
      </c>
      <c r="H21" s="3108">
        <v>0.98260000000000003</v>
      </c>
      <c r="I21" s="3108">
        <v>0.92069999999999996</v>
      </c>
      <c r="J21" s="3108">
        <v>0.92069999999999996</v>
      </c>
      <c r="K21" s="3108">
        <v>0.92069999999999996</v>
      </c>
      <c r="L21" s="3108">
        <v>0.92069999999999996</v>
      </c>
      <c r="M21" s="3109">
        <v>0.92069999999999996</v>
      </c>
    </row>
    <row r="22" spans="1:14">
      <c r="A22" s="3110">
        <v>2.9</v>
      </c>
      <c r="B22" s="3108">
        <v>1.0235000000000001</v>
      </c>
      <c r="C22" s="3108">
        <v>1.0235000000000001</v>
      </c>
      <c r="D22" s="3108">
        <v>0.97770000000000001</v>
      </c>
      <c r="E22" s="3108">
        <v>0.97770000000000001</v>
      </c>
      <c r="F22" s="3108">
        <v>0.97770000000000001</v>
      </c>
      <c r="G22" s="3108">
        <v>0.97770000000000001</v>
      </c>
      <c r="H22" s="3108">
        <v>0.97770000000000001</v>
      </c>
      <c r="I22" s="3108">
        <v>0.9133</v>
      </c>
      <c r="J22" s="3108">
        <v>0.9133</v>
      </c>
      <c r="K22" s="3108">
        <v>0.9133</v>
      </c>
      <c r="L22" s="3108">
        <v>0.9133</v>
      </c>
      <c r="M22" s="3109">
        <v>0.9133</v>
      </c>
    </row>
    <row r="23" spans="1:14">
      <c r="A23" s="3110">
        <v>3</v>
      </c>
      <c r="B23" s="3108">
        <v>1.0190999999999999</v>
      </c>
      <c r="C23" s="3108">
        <v>1.0190999999999999</v>
      </c>
      <c r="D23" s="3108">
        <v>0.97299999999999998</v>
      </c>
      <c r="E23" s="3108">
        <v>0.97299999999999998</v>
      </c>
      <c r="F23" s="3108">
        <v>0.97299999999999998</v>
      </c>
      <c r="G23" s="3108">
        <v>0.97299999999999998</v>
      </c>
      <c r="H23" s="3108">
        <v>0.97299999999999998</v>
      </c>
      <c r="I23" s="3108">
        <v>0.90629999999999999</v>
      </c>
      <c r="J23" s="3108">
        <v>0.90629999999999999</v>
      </c>
      <c r="K23" s="3108">
        <v>0.90629999999999999</v>
      </c>
      <c r="L23" s="3108">
        <v>0.90629999999999999</v>
      </c>
      <c r="M23" s="3109">
        <v>0.90629999999999999</v>
      </c>
    </row>
    <row r="24" spans="1:14">
      <c r="A24" s="3110">
        <v>3.1</v>
      </c>
      <c r="B24" s="3108">
        <v>1.0148999999999999</v>
      </c>
      <c r="C24" s="3108">
        <v>1.0148999999999999</v>
      </c>
      <c r="D24" s="3108">
        <v>0.96840000000000004</v>
      </c>
      <c r="E24" s="3108">
        <v>0.96840000000000004</v>
      </c>
      <c r="F24" s="3108">
        <v>0.96840000000000004</v>
      </c>
      <c r="G24" s="3108">
        <v>0.96840000000000004</v>
      </c>
      <c r="H24" s="3108">
        <v>0.96840000000000004</v>
      </c>
      <c r="I24" s="3108">
        <v>0.89959999999999996</v>
      </c>
      <c r="J24" s="3108">
        <v>0.89959999999999996</v>
      </c>
      <c r="K24" s="3108">
        <v>0.89959999999999996</v>
      </c>
      <c r="L24" s="3108">
        <v>0.89959999999999996</v>
      </c>
      <c r="M24" s="3109">
        <v>0.89959999999999996</v>
      </c>
    </row>
    <row r="25" spans="1:14">
      <c r="A25" s="3110">
        <v>3.2</v>
      </c>
      <c r="B25" s="3108">
        <v>1.0108999999999999</v>
      </c>
      <c r="C25" s="3108">
        <v>1.0108999999999999</v>
      </c>
      <c r="D25" s="3108">
        <v>0.96399999999999997</v>
      </c>
      <c r="E25" s="3108">
        <v>0.96399999999999997</v>
      </c>
      <c r="F25" s="3108">
        <v>0.96399999999999997</v>
      </c>
      <c r="G25" s="3108">
        <v>0.96399999999999997</v>
      </c>
      <c r="H25" s="3108">
        <v>0.96399999999999997</v>
      </c>
      <c r="I25" s="3108">
        <v>0.89319999999999999</v>
      </c>
      <c r="J25" s="3108">
        <v>0.89319999999999999</v>
      </c>
      <c r="K25" s="3108">
        <v>0.89319999999999999</v>
      </c>
      <c r="L25" s="3108">
        <v>0.89319999999999999</v>
      </c>
      <c r="M25" s="3109">
        <v>0.89319999999999999</v>
      </c>
    </row>
    <row r="26" spans="1:14">
      <c r="A26" s="3110">
        <v>3.3</v>
      </c>
      <c r="B26" s="3108">
        <v>1.0071000000000001</v>
      </c>
      <c r="C26" s="3108">
        <v>1.0071000000000001</v>
      </c>
      <c r="D26" s="3108">
        <v>0.95979999999999999</v>
      </c>
      <c r="E26" s="3108">
        <v>0.95979999999999999</v>
      </c>
      <c r="F26" s="3108">
        <v>0.95979999999999999</v>
      </c>
      <c r="G26" s="3108">
        <v>0.95979999999999999</v>
      </c>
      <c r="H26" s="3108">
        <v>0.95979999999999999</v>
      </c>
      <c r="I26" s="3108">
        <v>0.8871</v>
      </c>
      <c r="J26" s="3108">
        <v>0.8871</v>
      </c>
      <c r="K26" s="3108">
        <v>0.8871</v>
      </c>
      <c r="L26" s="3108">
        <v>0.8871</v>
      </c>
      <c r="M26" s="3109">
        <v>0.8871</v>
      </c>
    </row>
    <row r="27" spans="1:14">
      <c r="A27" s="3110">
        <v>3.4</v>
      </c>
      <c r="B27" s="3108">
        <v>1.0035000000000001</v>
      </c>
      <c r="C27" s="3108">
        <v>1.0035000000000001</v>
      </c>
      <c r="D27" s="3108">
        <v>0.95579999999999998</v>
      </c>
      <c r="E27" s="3108">
        <v>0.95579999999999998</v>
      </c>
      <c r="F27" s="3108">
        <v>0.95579999999999998</v>
      </c>
      <c r="G27" s="3108">
        <v>0.95579999999999998</v>
      </c>
      <c r="H27" s="3108">
        <v>0.95579999999999998</v>
      </c>
      <c r="I27" s="3108">
        <v>0.88119999999999998</v>
      </c>
      <c r="J27" s="3108">
        <v>0.88119999999999998</v>
      </c>
      <c r="K27" s="3108">
        <v>0.88119999999999998</v>
      </c>
      <c r="L27" s="3108">
        <v>0.88119999999999998</v>
      </c>
      <c r="M27" s="3109">
        <v>0.88119999999999998</v>
      </c>
    </row>
    <row r="28" spans="1:14">
      <c r="A28" s="3110">
        <v>3.5</v>
      </c>
      <c r="B28" s="3108">
        <v>1</v>
      </c>
      <c r="C28" s="3108">
        <v>1</v>
      </c>
      <c r="D28" s="3108">
        <v>0.95199999999999996</v>
      </c>
      <c r="E28" s="3108">
        <v>0.95199999999999996</v>
      </c>
      <c r="F28" s="3108">
        <v>0.95199999999999996</v>
      </c>
      <c r="G28" s="3108">
        <v>0.95199999999999996</v>
      </c>
      <c r="H28" s="3108">
        <v>0.95199999999999996</v>
      </c>
      <c r="I28" s="3108">
        <v>0.87549999999999994</v>
      </c>
      <c r="J28" s="3108">
        <v>0.87549999999999994</v>
      </c>
      <c r="K28" s="3108">
        <v>0.87549999999999994</v>
      </c>
      <c r="L28" s="3108">
        <v>0.87549999999999994</v>
      </c>
      <c r="M28" s="3109">
        <v>0.87549999999999994</v>
      </c>
    </row>
    <row r="29" spans="1:14">
      <c r="A29" s="3110">
        <v>3.6</v>
      </c>
      <c r="B29" s="3108">
        <v>0.99660000000000004</v>
      </c>
      <c r="C29" s="3108">
        <v>0.99660000000000004</v>
      </c>
      <c r="D29" s="3108">
        <v>0.94840000000000002</v>
      </c>
      <c r="E29" s="3108">
        <v>0.94840000000000002</v>
      </c>
      <c r="F29" s="3108">
        <v>0.94840000000000002</v>
      </c>
      <c r="G29" s="3108">
        <v>0.94840000000000002</v>
      </c>
      <c r="H29" s="3108">
        <v>0.94840000000000002</v>
      </c>
      <c r="I29" s="3108">
        <v>0.87</v>
      </c>
      <c r="J29" s="3108">
        <v>0.87</v>
      </c>
      <c r="K29" s="3108">
        <v>0.87</v>
      </c>
      <c r="L29" s="3108">
        <v>0.87</v>
      </c>
      <c r="M29" s="3109">
        <v>0.87</v>
      </c>
    </row>
    <row r="30" spans="1:14">
      <c r="A30" s="3110">
        <v>3.7</v>
      </c>
      <c r="B30" s="3108">
        <v>0.99329999999999996</v>
      </c>
      <c r="C30" s="3108">
        <v>0.99329999999999996</v>
      </c>
      <c r="D30" s="3108">
        <v>0.94499999999999995</v>
      </c>
      <c r="E30" s="3108">
        <v>0.94499999999999995</v>
      </c>
      <c r="F30" s="3108">
        <v>0.94499999999999995</v>
      </c>
      <c r="G30" s="3108">
        <v>0.94499999999999995</v>
      </c>
      <c r="H30" s="3108">
        <v>0.94499999999999995</v>
      </c>
      <c r="I30" s="3108">
        <v>0.86470000000000002</v>
      </c>
      <c r="J30" s="3108">
        <v>0.86470000000000002</v>
      </c>
      <c r="K30" s="3108">
        <v>0.86470000000000002</v>
      </c>
      <c r="L30" s="3108">
        <v>0.86470000000000002</v>
      </c>
      <c r="M30" s="3109">
        <v>0.86470000000000002</v>
      </c>
    </row>
    <row r="31" spans="1:14">
      <c r="A31" s="3110">
        <v>3.8</v>
      </c>
      <c r="B31" s="3108">
        <v>0.99009999999999998</v>
      </c>
      <c r="C31" s="3108">
        <v>0.99009999999999998</v>
      </c>
      <c r="D31" s="3108">
        <v>0.94169999999999998</v>
      </c>
      <c r="E31" s="3108">
        <v>0.94169999999999998</v>
      </c>
      <c r="F31" s="3108">
        <v>0.94169999999999998</v>
      </c>
      <c r="G31" s="3108">
        <v>0.94169999999999998</v>
      </c>
      <c r="H31" s="3108">
        <v>0.94169999999999998</v>
      </c>
      <c r="I31" s="3108">
        <v>0.85960000000000003</v>
      </c>
      <c r="J31" s="3108">
        <v>0.85960000000000003</v>
      </c>
      <c r="K31" s="3108">
        <v>0.85960000000000003</v>
      </c>
      <c r="L31" s="3108">
        <v>0.85960000000000003</v>
      </c>
      <c r="M31" s="3109">
        <v>0.85960000000000003</v>
      </c>
    </row>
    <row r="32" spans="1:14">
      <c r="A32" s="3110">
        <v>3.9</v>
      </c>
      <c r="B32" s="3108">
        <v>0.98699999999999999</v>
      </c>
      <c r="C32" s="3108">
        <v>0.98699999999999999</v>
      </c>
      <c r="D32" s="3108">
        <v>0.9385</v>
      </c>
      <c r="E32" s="3108">
        <v>0.9385</v>
      </c>
      <c r="F32" s="3108">
        <v>0.9385</v>
      </c>
      <c r="G32" s="3108">
        <v>0.9385</v>
      </c>
      <c r="H32" s="3108">
        <v>0.9385</v>
      </c>
      <c r="I32" s="3108">
        <v>0.85470000000000002</v>
      </c>
      <c r="J32" s="3108">
        <v>0.85470000000000002</v>
      </c>
      <c r="K32" s="3108">
        <v>0.85470000000000002</v>
      </c>
      <c r="L32" s="3108">
        <v>0.85470000000000002</v>
      </c>
      <c r="M32" s="3109">
        <v>0.85470000000000002</v>
      </c>
    </row>
    <row r="33" spans="1:13">
      <c r="A33" s="3110">
        <v>4</v>
      </c>
      <c r="B33" s="3108">
        <v>0.98399999999999999</v>
      </c>
      <c r="C33" s="3108">
        <v>0.98399999999999999</v>
      </c>
      <c r="D33" s="3108">
        <v>0.93540000000000001</v>
      </c>
      <c r="E33" s="3108">
        <v>0.93540000000000001</v>
      </c>
      <c r="F33" s="3108">
        <v>0.93540000000000001</v>
      </c>
      <c r="G33" s="3108">
        <v>0.93540000000000001</v>
      </c>
      <c r="H33" s="3108">
        <v>0.93540000000000001</v>
      </c>
      <c r="I33" s="3108">
        <v>0.84989999999999999</v>
      </c>
      <c r="J33" s="3108">
        <v>0.84989999999999999</v>
      </c>
      <c r="K33" s="3108">
        <v>0.84989999999999999</v>
      </c>
      <c r="L33" s="3108">
        <v>0.84989999999999999</v>
      </c>
      <c r="M33" s="3109">
        <v>0.84989999999999999</v>
      </c>
    </row>
    <row r="34" spans="1:13">
      <c r="A34" s="3110">
        <v>4.0999999999999996</v>
      </c>
      <c r="B34" s="3108">
        <v>0.98109999999999997</v>
      </c>
      <c r="C34" s="3108">
        <v>0.98109999999999997</v>
      </c>
      <c r="D34" s="3108">
        <v>0.93240000000000001</v>
      </c>
      <c r="E34" s="3108">
        <v>0.93240000000000001</v>
      </c>
      <c r="F34" s="3108">
        <v>0.93240000000000001</v>
      </c>
      <c r="G34" s="3108">
        <v>0.93240000000000001</v>
      </c>
      <c r="H34" s="3108">
        <v>0.93240000000000001</v>
      </c>
      <c r="I34" s="3108">
        <v>0.84519999999999995</v>
      </c>
      <c r="J34" s="3108">
        <v>0.84519999999999995</v>
      </c>
      <c r="K34" s="3108">
        <v>0.84519999999999995</v>
      </c>
      <c r="L34" s="3108">
        <v>0.84519999999999995</v>
      </c>
      <c r="M34" s="3109">
        <v>0.84519999999999995</v>
      </c>
    </row>
    <row r="35" spans="1:13">
      <c r="A35" s="3110">
        <v>4.2</v>
      </c>
      <c r="B35" s="3108">
        <v>0.97829999999999995</v>
      </c>
      <c r="C35" s="3108">
        <v>0.97829999999999995</v>
      </c>
      <c r="D35" s="3108">
        <v>0.92949999999999999</v>
      </c>
      <c r="E35" s="3108">
        <v>0.92949999999999999</v>
      </c>
      <c r="F35" s="3108">
        <v>0.92949999999999999</v>
      </c>
      <c r="G35" s="3108">
        <v>0.92949999999999999</v>
      </c>
      <c r="H35" s="3108">
        <v>0.92949999999999999</v>
      </c>
      <c r="I35" s="3108">
        <v>0.84060000000000001</v>
      </c>
      <c r="J35" s="3108">
        <v>0.84060000000000001</v>
      </c>
      <c r="K35" s="3108">
        <v>0.84060000000000001</v>
      </c>
      <c r="L35" s="3108">
        <v>0.84060000000000001</v>
      </c>
      <c r="M35" s="3109">
        <v>0.84060000000000001</v>
      </c>
    </row>
    <row r="36" spans="1:13">
      <c r="A36" s="3110">
        <v>4.3</v>
      </c>
      <c r="B36" s="3108">
        <v>0.97560000000000002</v>
      </c>
      <c r="C36" s="3108">
        <v>0.97560000000000002</v>
      </c>
      <c r="D36" s="3108">
        <v>0.92669999999999997</v>
      </c>
      <c r="E36" s="3108">
        <v>0.92669999999999997</v>
      </c>
      <c r="F36" s="3108">
        <v>0.92669999999999997</v>
      </c>
      <c r="G36" s="3108">
        <v>0.92669999999999997</v>
      </c>
      <c r="H36" s="3108">
        <v>0.92669999999999997</v>
      </c>
      <c r="I36" s="3108">
        <v>0.83609999999999995</v>
      </c>
      <c r="J36" s="3108">
        <v>0.83609999999999995</v>
      </c>
      <c r="K36" s="3108">
        <v>0.83609999999999995</v>
      </c>
      <c r="L36" s="3108">
        <v>0.83609999999999995</v>
      </c>
      <c r="M36" s="3109">
        <v>0.83609999999999995</v>
      </c>
    </row>
    <row r="37" spans="1:13">
      <c r="A37" s="3110">
        <v>4.4000000000000004</v>
      </c>
      <c r="B37" s="3108">
        <v>0.97299999999999998</v>
      </c>
      <c r="C37" s="3108">
        <v>0.97299999999999998</v>
      </c>
      <c r="D37" s="3108">
        <v>0.92400000000000004</v>
      </c>
      <c r="E37" s="3108">
        <v>0.92400000000000004</v>
      </c>
      <c r="F37" s="3108">
        <v>0.92400000000000004</v>
      </c>
      <c r="G37" s="3108">
        <v>0.92400000000000004</v>
      </c>
      <c r="H37" s="3108">
        <v>0.92400000000000004</v>
      </c>
      <c r="I37" s="3108">
        <v>0.83169999999999999</v>
      </c>
      <c r="J37" s="3108">
        <v>0.83169999999999999</v>
      </c>
      <c r="K37" s="3108">
        <v>0.83169999999999999</v>
      </c>
      <c r="L37" s="3108">
        <v>0.83169999999999999</v>
      </c>
      <c r="M37" s="3109">
        <v>0.83169999999999999</v>
      </c>
    </row>
    <row r="38" spans="1:13">
      <c r="A38" s="3110">
        <v>4.5</v>
      </c>
      <c r="B38" s="3108">
        <v>0.97050000000000003</v>
      </c>
      <c r="C38" s="3108">
        <v>0.97050000000000003</v>
      </c>
      <c r="D38" s="3108">
        <v>0.92130000000000001</v>
      </c>
      <c r="E38" s="3108">
        <v>0.92130000000000001</v>
      </c>
      <c r="F38" s="3108">
        <v>0.92130000000000001</v>
      </c>
      <c r="G38" s="3108">
        <v>0.92130000000000001</v>
      </c>
      <c r="H38" s="3108">
        <v>0.92130000000000001</v>
      </c>
      <c r="I38" s="3108">
        <v>0.82740000000000002</v>
      </c>
      <c r="J38" s="3108">
        <v>0.82740000000000002</v>
      </c>
      <c r="K38" s="3108">
        <v>0.82740000000000002</v>
      </c>
      <c r="L38" s="3108">
        <v>0.82740000000000002</v>
      </c>
      <c r="M38" s="3109">
        <v>0.82740000000000002</v>
      </c>
    </row>
    <row r="39" spans="1:13">
      <c r="A39" s="3110">
        <v>4.5999999999999996</v>
      </c>
      <c r="B39" s="3108">
        <v>0.96809999999999996</v>
      </c>
      <c r="C39" s="3108">
        <v>0.96809999999999996</v>
      </c>
      <c r="D39" s="3108">
        <v>0.91869999999999996</v>
      </c>
      <c r="E39" s="3108">
        <v>0.91869999999999996</v>
      </c>
      <c r="F39" s="3108">
        <v>0.91869999999999996</v>
      </c>
      <c r="G39" s="3108">
        <v>0.91869999999999996</v>
      </c>
      <c r="H39" s="3108">
        <v>0.91869999999999996</v>
      </c>
      <c r="I39" s="3108">
        <v>0.82320000000000004</v>
      </c>
      <c r="J39" s="3108">
        <v>0.82320000000000004</v>
      </c>
      <c r="K39" s="3108">
        <v>0.82320000000000004</v>
      </c>
      <c r="L39" s="3108">
        <v>0.82320000000000004</v>
      </c>
      <c r="M39" s="3109">
        <v>0.82320000000000004</v>
      </c>
    </row>
    <row r="40" spans="1:13">
      <c r="A40" s="3110">
        <v>4.7</v>
      </c>
      <c r="B40" s="3108">
        <v>0.96579999999999999</v>
      </c>
      <c r="C40" s="3108">
        <v>0.96579999999999999</v>
      </c>
      <c r="D40" s="3108">
        <v>0.91610000000000003</v>
      </c>
      <c r="E40" s="3108">
        <v>0.91610000000000003</v>
      </c>
      <c r="F40" s="3108">
        <v>0.91610000000000003</v>
      </c>
      <c r="G40" s="3108">
        <v>0.91610000000000003</v>
      </c>
      <c r="H40" s="3108">
        <v>0.91610000000000003</v>
      </c>
      <c r="I40" s="3108">
        <v>0.81910000000000005</v>
      </c>
      <c r="J40" s="3108">
        <v>0.81910000000000005</v>
      </c>
      <c r="K40" s="3108">
        <v>0.81910000000000005</v>
      </c>
      <c r="L40" s="3108">
        <v>0.81910000000000005</v>
      </c>
      <c r="M40" s="3109">
        <v>0.81910000000000005</v>
      </c>
    </row>
    <row r="41" spans="1:13">
      <c r="A41" s="3110">
        <v>4.8</v>
      </c>
      <c r="B41" s="3108">
        <v>0.96360000000000001</v>
      </c>
      <c r="C41" s="3108">
        <v>0.96360000000000001</v>
      </c>
      <c r="D41" s="3108">
        <v>0.91349999999999998</v>
      </c>
      <c r="E41" s="3108">
        <v>0.91349999999999998</v>
      </c>
      <c r="F41" s="3108">
        <v>0.91349999999999998</v>
      </c>
      <c r="G41" s="3108">
        <v>0.91349999999999998</v>
      </c>
      <c r="H41" s="3108">
        <v>0.91349999999999998</v>
      </c>
      <c r="I41" s="3108">
        <v>0.81510000000000005</v>
      </c>
      <c r="J41" s="3108">
        <v>0.81510000000000005</v>
      </c>
      <c r="K41" s="3108">
        <v>0.81510000000000005</v>
      </c>
      <c r="L41" s="3108">
        <v>0.81510000000000005</v>
      </c>
      <c r="M41" s="3109">
        <v>0.81510000000000005</v>
      </c>
    </row>
    <row r="42" spans="1:13">
      <c r="A42" s="3110">
        <v>4.9000000000000004</v>
      </c>
      <c r="B42" s="3108">
        <v>0.96150000000000002</v>
      </c>
      <c r="C42" s="3108">
        <v>0.96150000000000002</v>
      </c>
      <c r="D42" s="3108">
        <v>0.91100000000000003</v>
      </c>
      <c r="E42" s="3108">
        <v>0.91100000000000003</v>
      </c>
      <c r="F42" s="3108">
        <v>0.91100000000000003</v>
      </c>
      <c r="G42" s="3108">
        <v>0.91100000000000003</v>
      </c>
      <c r="H42" s="3108">
        <v>0.91100000000000003</v>
      </c>
      <c r="I42" s="3108">
        <v>0.81110000000000004</v>
      </c>
      <c r="J42" s="3108">
        <v>0.81110000000000004</v>
      </c>
      <c r="K42" s="3108">
        <v>0.81110000000000004</v>
      </c>
      <c r="L42" s="3108">
        <v>0.81110000000000004</v>
      </c>
      <c r="M42" s="3109">
        <v>0.81110000000000004</v>
      </c>
    </row>
    <row r="43" spans="1:13">
      <c r="A43" s="3110">
        <v>5</v>
      </c>
      <c r="B43" s="3108">
        <v>0.95940000000000003</v>
      </c>
      <c r="C43" s="3108">
        <v>0.95940000000000003</v>
      </c>
      <c r="D43" s="3108">
        <v>0.90849999999999997</v>
      </c>
      <c r="E43" s="3108">
        <v>0.90849999999999997</v>
      </c>
      <c r="F43" s="3108">
        <v>0.90849999999999997</v>
      </c>
      <c r="G43" s="3108">
        <v>0.90849999999999997</v>
      </c>
      <c r="H43" s="3108">
        <v>0.90849999999999997</v>
      </c>
      <c r="I43" s="3108">
        <v>0.80720000000000003</v>
      </c>
      <c r="J43" s="3108">
        <v>0.80720000000000003</v>
      </c>
      <c r="K43" s="3108">
        <v>0.80720000000000003</v>
      </c>
      <c r="L43" s="3108">
        <v>0.80720000000000003</v>
      </c>
      <c r="M43" s="3109">
        <v>0.80720000000000003</v>
      </c>
    </row>
    <row r="44" spans="1:13">
      <c r="A44" s="3107">
        <v>5.0999999999999996</v>
      </c>
      <c r="B44" s="3108">
        <v>0.95740000000000003</v>
      </c>
      <c r="C44" s="3108">
        <v>0.95740000000000003</v>
      </c>
      <c r="D44" s="3108">
        <v>0.90600000000000003</v>
      </c>
      <c r="E44" s="3108">
        <v>0.90600000000000003</v>
      </c>
      <c r="F44" s="3108">
        <v>0.90600000000000003</v>
      </c>
      <c r="G44" s="3108">
        <v>0.90600000000000003</v>
      </c>
      <c r="H44" s="3108">
        <v>0.90600000000000003</v>
      </c>
      <c r="I44" s="3108">
        <v>0.80330000000000001</v>
      </c>
      <c r="J44" s="3108">
        <v>0.80330000000000001</v>
      </c>
      <c r="K44" s="3108">
        <v>0.80330000000000001</v>
      </c>
      <c r="L44" s="3108">
        <v>0.80330000000000001</v>
      </c>
      <c r="M44" s="3109">
        <v>0.80330000000000001</v>
      </c>
    </row>
    <row r="45" spans="1:13">
      <c r="A45" s="3107">
        <v>5.2</v>
      </c>
      <c r="B45" s="3108">
        <v>0.95540000000000003</v>
      </c>
      <c r="C45" s="3108">
        <v>0.95540000000000003</v>
      </c>
      <c r="D45" s="3108">
        <v>0.90349999999999997</v>
      </c>
      <c r="E45" s="3108">
        <v>0.90349999999999997</v>
      </c>
      <c r="F45" s="3108">
        <v>0.90349999999999997</v>
      </c>
      <c r="G45" s="3108">
        <v>0.90349999999999997</v>
      </c>
      <c r="H45" s="3108">
        <v>0.90349999999999997</v>
      </c>
      <c r="I45" s="3108">
        <v>0.79949999999999999</v>
      </c>
      <c r="J45" s="3108">
        <v>0.79949999999999999</v>
      </c>
      <c r="K45" s="3108">
        <v>0.79949999999999999</v>
      </c>
      <c r="L45" s="3108">
        <v>0.79949999999999999</v>
      </c>
      <c r="M45" s="3109">
        <v>0.79949999999999999</v>
      </c>
    </row>
    <row r="46" spans="1:13">
      <c r="A46" s="3107">
        <v>5.3</v>
      </c>
      <c r="B46" s="3108">
        <v>0.95350000000000001</v>
      </c>
      <c r="C46" s="3108">
        <v>0.95350000000000001</v>
      </c>
      <c r="D46" s="3108">
        <v>0.90110000000000001</v>
      </c>
      <c r="E46" s="3108">
        <v>0.90110000000000001</v>
      </c>
      <c r="F46" s="3108">
        <v>0.90110000000000001</v>
      </c>
      <c r="G46" s="3108">
        <v>0.90110000000000001</v>
      </c>
      <c r="H46" s="3108">
        <v>0.90110000000000001</v>
      </c>
      <c r="I46" s="3108">
        <v>0.79569999999999996</v>
      </c>
      <c r="J46" s="3108">
        <v>0.79569999999999996</v>
      </c>
      <c r="K46" s="3108">
        <v>0.79569999999999996</v>
      </c>
      <c r="L46" s="3108">
        <v>0.79569999999999996</v>
      </c>
      <c r="M46" s="3109">
        <v>0.79569999999999996</v>
      </c>
    </row>
    <row r="47" spans="1:13">
      <c r="A47" s="3107">
        <v>5.4</v>
      </c>
      <c r="B47" s="3108">
        <v>0.9516</v>
      </c>
      <c r="C47" s="3108">
        <v>0.9516</v>
      </c>
      <c r="D47" s="3108">
        <v>0.89870000000000005</v>
      </c>
      <c r="E47" s="3108">
        <v>0.89870000000000005</v>
      </c>
      <c r="F47" s="3108">
        <v>0.89870000000000005</v>
      </c>
      <c r="G47" s="3108">
        <v>0.89870000000000005</v>
      </c>
      <c r="H47" s="3108">
        <v>0.89870000000000005</v>
      </c>
      <c r="I47" s="3108">
        <v>0.79200000000000004</v>
      </c>
      <c r="J47" s="3108">
        <v>0.79200000000000004</v>
      </c>
      <c r="K47" s="3108">
        <v>0.79200000000000004</v>
      </c>
      <c r="L47" s="3108">
        <v>0.79200000000000004</v>
      </c>
      <c r="M47" s="3109">
        <v>0.79200000000000004</v>
      </c>
    </row>
    <row r="48" spans="1:13">
      <c r="A48" s="3107">
        <v>5.5</v>
      </c>
      <c r="B48" s="3108">
        <v>0.94979999999999998</v>
      </c>
      <c r="C48" s="3108">
        <v>0.94979999999999998</v>
      </c>
      <c r="D48" s="3108">
        <v>0.89629999999999999</v>
      </c>
      <c r="E48" s="3108">
        <v>0.89629999999999999</v>
      </c>
      <c r="F48" s="3108">
        <v>0.89629999999999999</v>
      </c>
      <c r="G48" s="3108">
        <v>0.89629999999999999</v>
      </c>
      <c r="H48" s="3108">
        <v>0.89629999999999999</v>
      </c>
      <c r="I48" s="3108">
        <v>0.7883</v>
      </c>
      <c r="J48" s="3108">
        <v>0.7883</v>
      </c>
      <c r="K48" s="3108">
        <v>0.7883</v>
      </c>
      <c r="L48" s="3108">
        <v>0.7883</v>
      </c>
      <c r="M48" s="3109">
        <v>0.7883</v>
      </c>
    </row>
    <row r="49" spans="1:13">
      <c r="A49" s="3107">
        <v>5.6</v>
      </c>
      <c r="B49" s="3108">
        <v>0.94799999999999995</v>
      </c>
      <c r="C49" s="3108">
        <v>0.94799999999999995</v>
      </c>
      <c r="D49" s="3108">
        <v>0.89390000000000003</v>
      </c>
      <c r="E49" s="3108">
        <v>0.89390000000000003</v>
      </c>
      <c r="F49" s="3108">
        <v>0.89390000000000003</v>
      </c>
      <c r="G49" s="3108">
        <v>0.89390000000000003</v>
      </c>
      <c r="H49" s="3108">
        <v>0.89390000000000003</v>
      </c>
      <c r="I49" s="3108">
        <v>0.78469999999999995</v>
      </c>
      <c r="J49" s="3108">
        <v>0.78469999999999995</v>
      </c>
      <c r="K49" s="3108">
        <v>0.78469999999999995</v>
      </c>
      <c r="L49" s="3108">
        <v>0.78469999999999995</v>
      </c>
      <c r="M49" s="3109">
        <v>0.78469999999999995</v>
      </c>
    </row>
    <row r="50" spans="1:13">
      <c r="A50" s="3110">
        <v>5.7</v>
      </c>
      <c r="B50" s="3108">
        <v>0.94620000000000004</v>
      </c>
      <c r="C50" s="3108">
        <v>0.94620000000000004</v>
      </c>
      <c r="D50" s="3108">
        <v>0.89149999999999996</v>
      </c>
      <c r="E50" s="3108">
        <v>0.89149999999999996</v>
      </c>
      <c r="F50" s="3108">
        <v>0.89149999999999996</v>
      </c>
      <c r="G50" s="3108">
        <v>0.89149999999999996</v>
      </c>
      <c r="H50" s="3108">
        <v>0.89149999999999996</v>
      </c>
      <c r="I50" s="3108">
        <v>0.78110000000000002</v>
      </c>
      <c r="J50" s="3108">
        <v>0.78110000000000002</v>
      </c>
      <c r="K50" s="3108">
        <v>0.78110000000000002</v>
      </c>
      <c r="L50" s="3108">
        <v>0.78110000000000002</v>
      </c>
      <c r="M50" s="3109">
        <v>0.78110000000000002</v>
      </c>
    </row>
    <row r="51" spans="1:13">
      <c r="A51" s="3107">
        <v>5.8</v>
      </c>
      <c r="B51" s="3108">
        <v>0.94450000000000001</v>
      </c>
      <c r="C51" s="3108">
        <v>0.94450000000000001</v>
      </c>
      <c r="D51" s="3108">
        <v>0.88919999999999999</v>
      </c>
      <c r="E51" s="3108">
        <v>0.88919999999999999</v>
      </c>
      <c r="F51" s="3108">
        <v>0.88919999999999999</v>
      </c>
      <c r="G51" s="3108">
        <v>0.88919999999999999</v>
      </c>
      <c r="H51" s="3108">
        <v>0.88919999999999999</v>
      </c>
      <c r="I51" s="3108">
        <v>0.77759999999999996</v>
      </c>
      <c r="J51" s="3108">
        <v>0.77759999999999996</v>
      </c>
      <c r="K51" s="3108">
        <v>0.77759999999999996</v>
      </c>
      <c r="L51" s="3108">
        <v>0.77759999999999996</v>
      </c>
      <c r="M51" s="3109">
        <v>0.77759999999999996</v>
      </c>
    </row>
    <row r="52" spans="1:13">
      <c r="A52" s="3107">
        <v>5.9</v>
      </c>
      <c r="B52" s="3108">
        <v>0.94279999999999997</v>
      </c>
      <c r="C52" s="3108">
        <v>0.94279999999999997</v>
      </c>
      <c r="D52" s="3108">
        <v>0.88690000000000002</v>
      </c>
      <c r="E52" s="3108">
        <v>0.88690000000000002</v>
      </c>
      <c r="F52" s="3108">
        <v>0.88690000000000002</v>
      </c>
      <c r="G52" s="3108">
        <v>0.88690000000000002</v>
      </c>
      <c r="H52" s="3108">
        <v>0.88690000000000002</v>
      </c>
      <c r="I52" s="3108">
        <v>0.77410000000000001</v>
      </c>
      <c r="J52" s="3108">
        <v>0.77410000000000001</v>
      </c>
      <c r="K52" s="3108">
        <v>0.77410000000000001</v>
      </c>
      <c r="L52" s="3108">
        <v>0.77410000000000001</v>
      </c>
      <c r="M52" s="3109">
        <v>0.77410000000000001</v>
      </c>
    </row>
    <row r="53" spans="1:13">
      <c r="A53" s="3107">
        <v>6</v>
      </c>
      <c r="B53" s="3108">
        <v>0.94110000000000005</v>
      </c>
      <c r="C53" s="3108">
        <v>0.94110000000000005</v>
      </c>
      <c r="D53" s="3108">
        <v>0.88460000000000005</v>
      </c>
      <c r="E53" s="3108">
        <v>0.88460000000000005</v>
      </c>
      <c r="F53" s="3108">
        <v>0.88460000000000005</v>
      </c>
      <c r="G53" s="3108">
        <v>0.88460000000000005</v>
      </c>
      <c r="H53" s="3108">
        <v>0.88460000000000005</v>
      </c>
      <c r="I53" s="3108">
        <v>0.77070000000000005</v>
      </c>
      <c r="J53" s="3108">
        <v>0.77070000000000005</v>
      </c>
      <c r="K53" s="3108">
        <v>0.77070000000000005</v>
      </c>
      <c r="L53" s="3108">
        <v>0.77070000000000005</v>
      </c>
      <c r="M53" s="3109">
        <v>0.77070000000000005</v>
      </c>
    </row>
    <row r="54" spans="1:13">
      <c r="A54" s="3107">
        <v>6.1</v>
      </c>
      <c r="B54" s="3108">
        <v>0.93940000000000001</v>
      </c>
      <c r="C54" s="3108">
        <v>0.93940000000000001</v>
      </c>
      <c r="D54" s="3108">
        <v>0.88229999999999997</v>
      </c>
      <c r="E54" s="3108">
        <v>0.88229999999999997</v>
      </c>
      <c r="F54" s="3108">
        <v>0.88229999999999997</v>
      </c>
      <c r="G54" s="3108">
        <v>0.88229999999999997</v>
      </c>
      <c r="H54" s="3108">
        <v>0.88229999999999997</v>
      </c>
      <c r="I54" s="3108">
        <v>0.76729999999999998</v>
      </c>
      <c r="J54" s="3108">
        <v>0.76729999999999998</v>
      </c>
      <c r="K54" s="3108">
        <v>0.76729999999999998</v>
      </c>
      <c r="L54" s="3108">
        <v>0.76729999999999998</v>
      </c>
      <c r="M54" s="3109">
        <v>0.76729999999999998</v>
      </c>
    </row>
    <row r="55" spans="1:13">
      <c r="A55" s="3107">
        <v>6.2</v>
      </c>
      <c r="B55" s="3108">
        <v>0.93769999999999998</v>
      </c>
      <c r="C55" s="3108">
        <v>0.93769999999999998</v>
      </c>
      <c r="D55" s="3108">
        <v>0.88</v>
      </c>
      <c r="E55" s="3108">
        <v>0.88</v>
      </c>
      <c r="F55" s="3108">
        <v>0.88</v>
      </c>
      <c r="G55" s="3108">
        <v>0.88</v>
      </c>
      <c r="H55" s="3108">
        <v>0.88</v>
      </c>
      <c r="I55" s="3108">
        <v>0.76400000000000001</v>
      </c>
      <c r="J55" s="3108">
        <v>0.76400000000000001</v>
      </c>
      <c r="K55" s="3108">
        <v>0.76400000000000001</v>
      </c>
      <c r="L55" s="3108">
        <v>0.76400000000000001</v>
      </c>
      <c r="M55" s="3109">
        <v>0.76400000000000001</v>
      </c>
    </row>
    <row r="56" spans="1:13">
      <c r="A56" s="3107">
        <v>6.3</v>
      </c>
      <c r="B56" s="3108">
        <v>0.93610000000000004</v>
      </c>
      <c r="C56" s="3108">
        <v>0.93610000000000004</v>
      </c>
      <c r="D56" s="3108">
        <v>0.87780000000000002</v>
      </c>
      <c r="E56" s="3108">
        <v>0.87780000000000002</v>
      </c>
      <c r="F56" s="3108">
        <v>0.87780000000000002</v>
      </c>
      <c r="G56" s="3108">
        <v>0.87780000000000002</v>
      </c>
      <c r="H56" s="3108">
        <v>0.87780000000000002</v>
      </c>
      <c r="I56" s="3108">
        <v>0.76070000000000004</v>
      </c>
      <c r="J56" s="3108">
        <v>0.76070000000000004</v>
      </c>
      <c r="K56" s="3108">
        <v>0.76070000000000004</v>
      </c>
      <c r="L56" s="3108">
        <v>0.76070000000000004</v>
      </c>
      <c r="M56" s="3109">
        <v>0.76070000000000004</v>
      </c>
    </row>
    <row r="57" spans="1:13">
      <c r="A57" s="3107">
        <v>6.4</v>
      </c>
      <c r="B57" s="3108">
        <v>0.9345</v>
      </c>
      <c r="C57" s="3108">
        <v>0.9345</v>
      </c>
      <c r="D57" s="3108">
        <v>0.87560000000000004</v>
      </c>
      <c r="E57" s="3108">
        <v>0.87560000000000004</v>
      </c>
      <c r="F57" s="3108">
        <v>0.87560000000000004</v>
      </c>
      <c r="G57" s="3108">
        <v>0.87560000000000004</v>
      </c>
      <c r="H57" s="3108">
        <v>0.87560000000000004</v>
      </c>
      <c r="I57" s="3108">
        <v>0.75749999999999995</v>
      </c>
      <c r="J57" s="3108">
        <v>0.75749999999999995</v>
      </c>
      <c r="K57" s="3108">
        <v>0.75749999999999995</v>
      </c>
      <c r="L57" s="3108">
        <v>0.75749999999999995</v>
      </c>
      <c r="M57" s="3109">
        <v>0.75749999999999995</v>
      </c>
    </row>
    <row r="58" spans="1:13">
      <c r="A58" s="3107">
        <v>6.5</v>
      </c>
      <c r="B58" s="3108">
        <v>0.93289999999999995</v>
      </c>
      <c r="C58" s="3108">
        <v>0.93289999999999995</v>
      </c>
      <c r="D58" s="3108">
        <v>0.87339999999999995</v>
      </c>
      <c r="E58" s="3108">
        <v>0.87339999999999995</v>
      </c>
      <c r="F58" s="3108">
        <v>0.87339999999999995</v>
      </c>
      <c r="G58" s="3108">
        <v>0.87339999999999995</v>
      </c>
      <c r="H58" s="3108">
        <v>0.87339999999999995</v>
      </c>
      <c r="I58" s="3108">
        <v>0.75429999999999997</v>
      </c>
      <c r="J58" s="3108">
        <v>0.75429999999999997</v>
      </c>
      <c r="K58" s="3108">
        <v>0.75429999999999997</v>
      </c>
      <c r="L58" s="3108">
        <v>0.75429999999999997</v>
      </c>
      <c r="M58" s="3109">
        <v>0.75429999999999997</v>
      </c>
    </row>
    <row r="59" spans="1:13">
      <c r="A59" s="3107">
        <v>6.6</v>
      </c>
      <c r="B59" s="3108">
        <v>0.93130000000000002</v>
      </c>
      <c r="C59" s="3108">
        <v>0.93130000000000002</v>
      </c>
      <c r="D59" s="3108">
        <v>0.87119999999999997</v>
      </c>
      <c r="E59" s="3108">
        <v>0.87119999999999997</v>
      </c>
      <c r="F59" s="3108">
        <v>0.87119999999999997</v>
      </c>
      <c r="G59" s="3108">
        <v>0.87119999999999997</v>
      </c>
      <c r="H59" s="3108">
        <v>0.87119999999999997</v>
      </c>
      <c r="I59" s="3108">
        <v>0.75119999999999998</v>
      </c>
      <c r="J59" s="3108">
        <v>0.75119999999999998</v>
      </c>
      <c r="K59" s="3108">
        <v>0.75119999999999998</v>
      </c>
      <c r="L59" s="3108">
        <v>0.75119999999999998</v>
      </c>
      <c r="M59" s="3109">
        <v>0.75119999999999998</v>
      </c>
    </row>
    <row r="60" spans="1:13">
      <c r="A60" s="3107">
        <v>6.7</v>
      </c>
      <c r="B60" s="3108">
        <v>0.92969999999999997</v>
      </c>
      <c r="C60" s="3108">
        <v>0.92969999999999997</v>
      </c>
      <c r="D60" s="3108">
        <v>0.86899999999999999</v>
      </c>
      <c r="E60" s="3108">
        <v>0.86899999999999999</v>
      </c>
      <c r="F60" s="3108">
        <v>0.86899999999999999</v>
      </c>
      <c r="G60" s="3108">
        <v>0.86899999999999999</v>
      </c>
      <c r="H60" s="3108">
        <v>0.86899999999999999</v>
      </c>
      <c r="I60" s="3108">
        <v>0.74809999999999999</v>
      </c>
      <c r="J60" s="3108">
        <v>0.74809999999999999</v>
      </c>
      <c r="K60" s="3108">
        <v>0.74809999999999999</v>
      </c>
      <c r="L60" s="3108">
        <v>0.74809999999999999</v>
      </c>
      <c r="M60" s="3109">
        <v>0.74809999999999999</v>
      </c>
    </row>
    <row r="61" spans="1:13">
      <c r="A61" s="3107">
        <v>6.8</v>
      </c>
      <c r="B61" s="3108">
        <v>0.92820000000000003</v>
      </c>
      <c r="C61" s="3108">
        <v>0.92820000000000003</v>
      </c>
      <c r="D61" s="3108">
        <v>0.8669</v>
      </c>
      <c r="E61" s="3108">
        <v>0.8669</v>
      </c>
      <c r="F61" s="3108">
        <v>0.8669</v>
      </c>
      <c r="G61" s="3108">
        <v>0.8669</v>
      </c>
      <c r="H61" s="3108">
        <v>0.8669</v>
      </c>
      <c r="I61" s="3108">
        <v>0.74509999999999998</v>
      </c>
      <c r="J61" s="3108">
        <v>0.74509999999999998</v>
      </c>
      <c r="K61" s="3108">
        <v>0.74509999999999998</v>
      </c>
      <c r="L61" s="3108">
        <v>0.74509999999999998</v>
      </c>
      <c r="M61" s="3109">
        <v>0.74509999999999998</v>
      </c>
    </row>
    <row r="62" spans="1:13">
      <c r="A62" s="3107">
        <v>6.9</v>
      </c>
      <c r="B62" s="3108">
        <v>0.92669999999999997</v>
      </c>
      <c r="C62" s="3108">
        <v>0.92669999999999997</v>
      </c>
      <c r="D62" s="3108">
        <v>0.86480000000000001</v>
      </c>
      <c r="E62" s="3108">
        <v>0.86480000000000001</v>
      </c>
      <c r="F62" s="3108">
        <v>0.86480000000000001</v>
      </c>
      <c r="G62" s="3108">
        <v>0.86480000000000001</v>
      </c>
      <c r="H62" s="3108">
        <v>0.86480000000000001</v>
      </c>
      <c r="I62" s="3108">
        <v>0.74209999999999998</v>
      </c>
      <c r="J62" s="3108">
        <v>0.74209999999999998</v>
      </c>
      <c r="K62" s="3108">
        <v>0.74209999999999998</v>
      </c>
      <c r="L62" s="3108">
        <v>0.74209999999999998</v>
      </c>
      <c r="M62" s="3109">
        <v>0.74209999999999998</v>
      </c>
    </row>
    <row r="63" spans="1:13">
      <c r="A63" s="3107">
        <v>7</v>
      </c>
      <c r="B63" s="3108">
        <v>0.92520000000000002</v>
      </c>
      <c r="C63" s="3108">
        <v>0.92520000000000002</v>
      </c>
      <c r="D63" s="3108">
        <v>0.86270000000000002</v>
      </c>
      <c r="E63" s="3108">
        <v>0.86270000000000002</v>
      </c>
      <c r="F63" s="3108">
        <v>0.86270000000000002</v>
      </c>
      <c r="G63" s="3108">
        <v>0.86270000000000002</v>
      </c>
      <c r="H63" s="3108">
        <v>0.86270000000000002</v>
      </c>
      <c r="I63" s="3108">
        <v>0.73919999999999997</v>
      </c>
      <c r="J63" s="3108">
        <v>0.73919999999999997</v>
      </c>
      <c r="K63" s="3108">
        <v>0.73919999999999997</v>
      </c>
      <c r="L63" s="3108">
        <v>0.73919999999999997</v>
      </c>
      <c r="M63" s="3109">
        <v>0.73919999999999997</v>
      </c>
    </row>
    <row r="64" spans="1:13">
      <c r="A64" s="3107">
        <v>7.1</v>
      </c>
      <c r="B64" s="3108">
        <v>0.92369999999999997</v>
      </c>
      <c r="C64" s="3108">
        <v>0.92369999999999997</v>
      </c>
      <c r="D64" s="3108">
        <v>0.86060000000000003</v>
      </c>
      <c r="E64" s="3108">
        <v>0.86060000000000003</v>
      </c>
      <c r="F64" s="3108">
        <v>0.86060000000000003</v>
      </c>
      <c r="G64" s="3108">
        <v>0.86060000000000003</v>
      </c>
      <c r="H64" s="3108">
        <v>0.86060000000000003</v>
      </c>
      <c r="I64" s="3108">
        <v>0.73629999999999995</v>
      </c>
      <c r="J64" s="3108">
        <v>0.73629999999999995</v>
      </c>
      <c r="K64" s="3108">
        <v>0.73629999999999995</v>
      </c>
      <c r="L64" s="3108">
        <v>0.73629999999999995</v>
      </c>
      <c r="M64" s="3109">
        <v>0.73629999999999995</v>
      </c>
    </row>
    <row r="65" spans="1:13">
      <c r="A65" s="3107">
        <v>7.2</v>
      </c>
      <c r="B65" s="3108">
        <v>0.92220000000000002</v>
      </c>
      <c r="C65" s="3108">
        <v>0.92220000000000002</v>
      </c>
      <c r="D65" s="3108">
        <v>0.85850000000000004</v>
      </c>
      <c r="E65" s="3108">
        <v>0.85850000000000004</v>
      </c>
      <c r="F65" s="3108">
        <v>0.85850000000000004</v>
      </c>
      <c r="G65" s="3108">
        <v>0.85850000000000004</v>
      </c>
      <c r="H65" s="3108">
        <v>0.85850000000000004</v>
      </c>
      <c r="I65" s="3108">
        <v>0.73350000000000004</v>
      </c>
      <c r="J65" s="3108">
        <v>0.73350000000000004</v>
      </c>
      <c r="K65" s="3108">
        <v>0.73350000000000004</v>
      </c>
      <c r="L65" s="3108">
        <v>0.73350000000000004</v>
      </c>
      <c r="M65" s="3109">
        <v>0.73350000000000004</v>
      </c>
    </row>
    <row r="66" spans="1:13">
      <c r="A66" s="3107">
        <v>7.3</v>
      </c>
      <c r="B66" s="3108">
        <v>0.92069999999999996</v>
      </c>
      <c r="C66" s="3108">
        <v>0.92069999999999996</v>
      </c>
      <c r="D66" s="3108">
        <v>0.85650000000000004</v>
      </c>
      <c r="E66" s="3108">
        <v>0.85650000000000004</v>
      </c>
      <c r="F66" s="3108">
        <v>0.85650000000000004</v>
      </c>
      <c r="G66" s="3108">
        <v>0.85650000000000004</v>
      </c>
      <c r="H66" s="3108">
        <v>0.85650000000000004</v>
      </c>
      <c r="I66" s="3108">
        <v>0.73070000000000002</v>
      </c>
      <c r="J66" s="3108">
        <v>0.73070000000000002</v>
      </c>
      <c r="K66" s="3108">
        <v>0.73070000000000002</v>
      </c>
      <c r="L66" s="3108">
        <v>0.73070000000000002</v>
      </c>
      <c r="M66" s="3109">
        <v>0.73070000000000002</v>
      </c>
    </row>
    <row r="67" spans="1:13">
      <c r="A67" s="3107">
        <v>7.4</v>
      </c>
      <c r="B67" s="3108">
        <v>0.91930000000000001</v>
      </c>
      <c r="C67" s="3108">
        <v>0.91930000000000001</v>
      </c>
      <c r="D67" s="3108">
        <v>0.85450000000000004</v>
      </c>
      <c r="E67" s="3108">
        <v>0.85450000000000004</v>
      </c>
      <c r="F67" s="3108">
        <v>0.85450000000000004</v>
      </c>
      <c r="G67" s="3108">
        <v>0.85450000000000004</v>
      </c>
      <c r="H67" s="3108">
        <v>0.85450000000000004</v>
      </c>
      <c r="I67" s="3108">
        <v>0.72799999999999998</v>
      </c>
      <c r="J67" s="3108">
        <v>0.72799999999999998</v>
      </c>
      <c r="K67" s="3108">
        <v>0.72799999999999998</v>
      </c>
      <c r="L67" s="3108">
        <v>0.72799999999999998</v>
      </c>
      <c r="M67" s="3109">
        <v>0.72799999999999998</v>
      </c>
    </row>
    <row r="68" spans="1:13">
      <c r="A68" s="3107">
        <v>7.5</v>
      </c>
      <c r="B68" s="3108">
        <v>0.91790000000000005</v>
      </c>
      <c r="C68" s="3108">
        <v>0.91790000000000005</v>
      </c>
      <c r="D68" s="3108">
        <v>0.85250000000000004</v>
      </c>
      <c r="E68" s="3108">
        <v>0.85250000000000004</v>
      </c>
      <c r="F68" s="3108">
        <v>0.85250000000000004</v>
      </c>
      <c r="G68" s="3108">
        <v>0.85250000000000004</v>
      </c>
      <c r="H68" s="3108">
        <v>0.85250000000000004</v>
      </c>
      <c r="I68" s="3108">
        <v>0.72529999999999994</v>
      </c>
      <c r="J68" s="3108">
        <v>0.72529999999999994</v>
      </c>
      <c r="K68" s="3108">
        <v>0.72529999999999994</v>
      </c>
      <c r="L68" s="3108">
        <v>0.72529999999999994</v>
      </c>
      <c r="M68" s="3109">
        <v>0.72529999999999994</v>
      </c>
    </row>
    <row r="69" spans="1:13">
      <c r="A69" s="3107">
        <v>7.6</v>
      </c>
      <c r="B69" s="3108">
        <v>0.91649999999999998</v>
      </c>
      <c r="C69" s="3108">
        <v>0.91649999999999998</v>
      </c>
      <c r="D69" s="3108">
        <v>0.85050000000000003</v>
      </c>
      <c r="E69" s="3108">
        <v>0.85050000000000003</v>
      </c>
      <c r="F69" s="3108">
        <v>0.85050000000000003</v>
      </c>
      <c r="G69" s="3108">
        <v>0.85050000000000003</v>
      </c>
      <c r="H69" s="3108">
        <v>0.85050000000000003</v>
      </c>
      <c r="I69" s="3108">
        <v>0.72260000000000002</v>
      </c>
      <c r="J69" s="3108">
        <v>0.72260000000000002</v>
      </c>
      <c r="K69" s="3108">
        <v>0.72260000000000002</v>
      </c>
      <c r="L69" s="3108">
        <v>0.72260000000000002</v>
      </c>
      <c r="M69" s="3109">
        <v>0.72260000000000002</v>
      </c>
    </row>
    <row r="70" spans="1:13">
      <c r="A70" s="3107">
        <v>7.7</v>
      </c>
      <c r="B70" s="3108">
        <v>0.91510000000000002</v>
      </c>
      <c r="C70" s="3108">
        <v>0.91510000000000002</v>
      </c>
      <c r="D70" s="3108">
        <v>0.84850000000000003</v>
      </c>
      <c r="E70" s="3108">
        <v>0.84850000000000003</v>
      </c>
      <c r="F70" s="3108">
        <v>0.84850000000000003</v>
      </c>
      <c r="G70" s="3108">
        <v>0.84850000000000003</v>
      </c>
      <c r="H70" s="3108">
        <v>0.84850000000000003</v>
      </c>
      <c r="I70" s="3108">
        <v>0.72</v>
      </c>
      <c r="J70" s="3108">
        <v>0.72</v>
      </c>
      <c r="K70" s="3108">
        <v>0.72</v>
      </c>
      <c r="L70" s="3108">
        <v>0.72</v>
      </c>
      <c r="M70" s="3109">
        <v>0.72</v>
      </c>
    </row>
    <row r="71" spans="1:13">
      <c r="A71" s="3107">
        <v>7.8</v>
      </c>
      <c r="B71" s="3108">
        <v>0.91369999999999996</v>
      </c>
      <c r="C71" s="3108">
        <v>0.91369999999999996</v>
      </c>
      <c r="D71" s="3108">
        <v>0.84660000000000002</v>
      </c>
      <c r="E71" s="3108">
        <v>0.84660000000000002</v>
      </c>
      <c r="F71" s="3108">
        <v>0.84660000000000002</v>
      </c>
      <c r="G71" s="3108">
        <v>0.84660000000000002</v>
      </c>
      <c r="H71" s="3108">
        <v>0.84660000000000002</v>
      </c>
      <c r="I71" s="3108">
        <v>0.71740000000000004</v>
      </c>
      <c r="J71" s="3108">
        <v>0.71740000000000004</v>
      </c>
      <c r="K71" s="3108">
        <v>0.71740000000000004</v>
      </c>
      <c r="L71" s="3108">
        <v>0.71740000000000004</v>
      </c>
      <c r="M71" s="3109">
        <v>0.71740000000000004</v>
      </c>
    </row>
    <row r="72" spans="1:13">
      <c r="A72" s="3107">
        <v>7.9</v>
      </c>
      <c r="B72" s="3108">
        <v>0.9123</v>
      </c>
      <c r="C72" s="3108">
        <v>0.9123</v>
      </c>
      <c r="D72" s="3108">
        <v>0.84470000000000001</v>
      </c>
      <c r="E72" s="3108">
        <v>0.84470000000000001</v>
      </c>
      <c r="F72" s="3108">
        <v>0.84470000000000001</v>
      </c>
      <c r="G72" s="3108">
        <v>0.84470000000000001</v>
      </c>
      <c r="H72" s="3108">
        <v>0.84470000000000001</v>
      </c>
      <c r="I72" s="3108">
        <v>0.71479999999999999</v>
      </c>
      <c r="J72" s="3108">
        <v>0.71479999999999999</v>
      </c>
      <c r="K72" s="3108">
        <v>0.71479999999999999</v>
      </c>
      <c r="L72" s="3108">
        <v>0.71479999999999999</v>
      </c>
      <c r="M72" s="3109">
        <v>0.71479999999999999</v>
      </c>
    </row>
    <row r="73" spans="1:13">
      <c r="A73" s="3107">
        <v>8</v>
      </c>
      <c r="B73" s="3108">
        <v>0.91090000000000004</v>
      </c>
      <c r="C73" s="3108">
        <v>0.91090000000000004</v>
      </c>
      <c r="D73" s="3108">
        <v>0.84279999999999999</v>
      </c>
      <c r="E73" s="3108">
        <v>0.84279999999999999</v>
      </c>
      <c r="F73" s="3108">
        <v>0.84279999999999999</v>
      </c>
      <c r="G73" s="3108">
        <v>0.84279999999999999</v>
      </c>
      <c r="H73" s="3108">
        <v>0.84279999999999999</v>
      </c>
      <c r="I73" s="3108">
        <v>0.71230000000000004</v>
      </c>
      <c r="J73" s="3108">
        <v>0.71230000000000004</v>
      </c>
      <c r="K73" s="3108">
        <v>0.71230000000000004</v>
      </c>
      <c r="L73" s="3108">
        <v>0.71230000000000004</v>
      </c>
      <c r="M73" s="3109">
        <v>0.71230000000000004</v>
      </c>
    </row>
    <row r="74" spans="1:13">
      <c r="A74" s="3107">
        <v>8.1</v>
      </c>
      <c r="B74" s="3108">
        <v>0.90959999999999996</v>
      </c>
      <c r="C74" s="3108">
        <v>0.90959999999999996</v>
      </c>
      <c r="D74" s="3108">
        <v>0.84089999999999998</v>
      </c>
      <c r="E74" s="3108">
        <v>0.84089999999999998</v>
      </c>
      <c r="F74" s="3108">
        <v>0.84089999999999998</v>
      </c>
      <c r="G74" s="3108">
        <v>0.84089999999999998</v>
      </c>
      <c r="H74" s="3108">
        <v>0.84089999999999998</v>
      </c>
      <c r="I74" s="3108">
        <v>0.70979999999999999</v>
      </c>
      <c r="J74" s="3108">
        <v>0.70979999999999999</v>
      </c>
      <c r="K74" s="3108">
        <v>0.70979999999999999</v>
      </c>
      <c r="L74" s="3108">
        <v>0.70979999999999999</v>
      </c>
      <c r="M74" s="3109">
        <v>0.70979999999999999</v>
      </c>
    </row>
    <row r="75" spans="1:13">
      <c r="A75" s="3107">
        <v>8.1999999999999993</v>
      </c>
      <c r="B75" s="3108">
        <v>0.9083</v>
      </c>
      <c r="C75" s="3108">
        <v>0.9083</v>
      </c>
      <c r="D75" s="3108">
        <v>0.83899999999999997</v>
      </c>
      <c r="E75" s="3108">
        <v>0.83899999999999997</v>
      </c>
      <c r="F75" s="3108">
        <v>0.83899999999999997</v>
      </c>
      <c r="G75" s="3108">
        <v>0.83899999999999997</v>
      </c>
      <c r="H75" s="3108">
        <v>0.83899999999999997</v>
      </c>
      <c r="I75" s="3108">
        <v>0.70730000000000004</v>
      </c>
      <c r="J75" s="3108">
        <v>0.70730000000000004</v>
      </c>
      <c r="K75" s="3108">
        <v>0.70730000000000004</v>
      </c>
      <c r="L75" s="3108">
        <v>0.70730000000000004</v>
      </c>
      <c r="M75" s="3109">
        <v>0.70730000000000004</v>
      </c>
    </row>
    <row r="76" spans="1:13">
      <c r="A76" s="3107">
        <v>8.3000000000000007</v>
      </c>
      <c r="B76" s="3108">
        <v>0.90700000000000003</v>
      </c>
      <c r="C76" s="3108">
        <v>0.90700000000000003</v>
      </c>
      <c r="D76" s="3108">
        <v>0.83720000000000006</v>
      </c>
      <c r="E76" s="3108">
        <v>0.83720000000000006</v>
      </c>
      <c r="F76" s="3108">
        <v>0.83720000000000006</v>
      </c>
      <c r="G76" s="3108">
        <v>0.83720000000000006</v>
      </c>
      <c r="H76" s="3108">
        <v>0.83720000000000006</v>
      </c>
      <c r="I76" s="3108">
        <v>0.70489999999999997</v>
      </c>
      <c r="J76" s="3108">
        <v>0.70489999999999997</v>
      </c>
      <c r="K76" s="3108">
        <v>0.70489999999999997</v>
      </c>
      <c r="L76" s="3108">
        <v>0.70489999999999997</v>
      </c>
      <c r="M76" s="3109">
        <v>0.70489999999999997</v>
      </c>
    </row>
    <row r="77" spans="1:13">
      <c r="A77" s="3107">
        <v>8.4</v>
      </c>
      <c r="B77" s="3108">
        <v>0.90569999999999995</v>
      </c>
      <c r="C77" s="3108">
        <v>0.90569999999999995</v>
      </c>
      <c r="D77" s="3108">
        <v>0.83540000000000003</v>
      </c>
      <c r="E77" s="3108">
        <v>0.83540000000000003</v>
      </c>
      <c r="F77" s="3108">
        <v>0.83540000000000003</v>
      </c>
      <c r="G77" s="3108">
        <v>0.83540000000000003</v>
      </c>
      <c r="H77" s="3108">
        <v>0.83540000000000003</v>
      </c>
      <c r="I77" s="3108">
        <v>0.70250000000000001</v>
      </c>
      <c r="J77" s="3108">
        <v>0.70250000000000001</v>
      </c>
      <c r="K77" s="3108">
        <v>0.70250000000000001</v>
      </c>
      <c r="L77" s="3108">
        <v>0.70250000000000001</v>
      </c>
      <c r="M77" s="3109">
        <v>0.70250000000000001</v>
      </c>
    </row>
    <row r="78" spans="1:13">
      <c r="A78" s="3107">
        <v>8.5</v>
      </c>
      <c r="B78" s="3108">
        <v>0.90439999999999998</v>
      </c>
      <c r="C78" s="3108">
        <v>0.90439999999999998</v>
      </c>
      <c r="D78" s="3108">
        <v>0.83360000000000001</v>
      </c>
      <c r="E78" s="3108">
        <v>0.83360000000000001</v>
      </c>
      <c r="F78" s="3108">
        <v>0.83360000000000001</v>
      </c>
      <c r="G78" s="3108">
        <v>0.83360000000000001</v>
      </c>
      <c r="H78" s="3108">
        <v>0.83360000000000001</v>
      </c>
      <c r="I78" s="3108">
        <v>0.70009999999999994</v>
      </c>
      <c r="J78" s="3108">
        <v>0.70009999999999994</v>
      </c>
      <c r="K78" s="3108">
        <v>0.70009999999999994</v>
      </c>
      <c r="L78" s="3108">
        <v>0.70009999999999994</v>
      </c>
      <c r="M78" s="3109">
        <v>0.70009999999999994</v>
      </c>
    </row>
    <row r="79" spans="1:13">
      <c r="A79" s="3107">
        <v>8.6</v>
      </c>
      <c r="B79" s="3108">
        <v>0.90310000000000001</v>
      </c>
      <c r="C79" s="3108">
        <v>0.90310000000000001</v>
      </c>
      <c r="D79" s="3108">
        <v>0.83179999999999998</v>
      </c>
      <c r="E79" s="3108">
        <v>0.83179999999999998</v>
      </c>
      <c r="F79" s="3108">
        <v>0.83179999999999998</v>
      </c>
      <c r="G79" s="3108">
        <v>0.83179999999999998</v>
      </c>
      <c r="H79" s="3108">
        <v>0.83179999999999998</v>
      </c>
      <c r="I79" s="3108">
        <v>0.69779999999999998</v>
      </c>
      <c r="J79" s="3108">
        <v>0.69779999999999998</v>
      </c>
      <c r="K79" s="3108">
        <v>0.69779999999999998</v>
      </c>
      <c r="L79" s="3108">
        <v>0.69779999999999998</v>
      </c>
      <c r="M79" s="3109">
        <v>0.69779999999999998</v>
      </c>
    </row>
    <row r="80" spans="1:13">
      <c r="A80" s="3107">
        <v>8.6999999999999993</v>
      </c>
      <c r="B80" s="3108">
        <v>0.90180000000000005</v>
      </c>
      <c r="C80" s="3108">
        <v>0.90180000000000005</v>
      </c>
      <c r="D80" s="3108">
        <v>0.83</v>
      </c>
      <c r="E80" s="3108">
        <v>0.83</v>
      </c>
      <c r="F80" s="3108">
        <v>0.83</v>
      </c>
      <c r="G80" s="3108">
        <v>0.83</v>
      </c>
      <c r="H80" s="3108">
        <v>0.83</v>
      </c>
      <c r="I80" s="3108">
        <v>0.69550000000000001</v>
      </c>
      <c r="J80" s="3108">
        <v>0.69550000000000001</v>
      </c>
      <c r="K80" s="3108">
        <v>0.69550000000000001</v>
      </c>
      <c r="L80" s="3108">
        <v>0.69550000000000001</v>
      </c>
      <c r="M80" s="3109">
        <v>0.69550000000000001</v>
      </c>
    </row>
    <row r="81" spans="1:20">
      <c r="A81" s="3107">
        <v>8.8000000000000007</v>
      </c>
      <c r="B81" s="3108">
        <v>0.90059999999999996</v>
      </c>
      <c r="C81" s="3108">
        <v>0.90059999999999996</v>
      </c>
      <c r="D81" s="3108">
        <v>0.82830000000000004</v>
      </c>
      <c r="E81" s="3108">
        <v>0.82830000000000004</v>
      </c>
      <c r="F81" s="3108">
        <v>0.82830000000000004</v>
      </c>
      <c r="G81" s="3108">
        <v>0.82830000000000004</v>
      </c>
      <c r="H81" s="3108">
        <v>0.82830000000000004</v>
      </c>
      <c r="I81" s="3108">
        <v>0.69320000000000004</v>
      </c>
      <c r="J81" s="3108">
        <v>0.69320000000000004</v>
      </c>
      <c r="K81" s="3108">
        <v>0.69320000000000004</v>
      </c>
      <c r="L81" s="3108">
        <v>0.69320000000000004</v>
      </c>
      <c r="M81" s="3109">
        <v>0.69320000000000004</v>
      </c>
    </row>
    <row r="82" spans="1:20">
      <c r="A82" s="3107">
        <v>8.9</v>
      </c>
      <c r="B82" s="3108">
        <v>0.89939999999999998</v>
      </c>
      <c r="C82" s="3108">
        <v>0.89939999999999998</v>
      </c>
      <c r="D82" s="3108">
        <v>0.8266</v>
      </c>
      <c r="E82" s="3108">
        <v>0.8266</v>
      </c>
      <c r="F82" s="3108">
        <v>0.8266</v>
      </c>
      <c r="G82" s="3108">
        <v>0.8266</v>
      </c>
      <c r="H82" s="3108">
        <v>0.8266</v>
      </c>
      <c r="I82" s="3108">
        <v>0.69099999999999995</v>
      </c>
      <c r="J82" s="3108">
        <v>0.69099999999999995</v>
      </c>
      <c r="K82" s="3108">
        <v>0.69099999999999995</v>
      </c>
      <c r="L82" s="3108">
        <v>0.69099999999999995</v>
      </c>
      <c r="M82" s="3109">
        <v>0.69099999999999995</v>
      </c>
    </row>
    <row r="83" spans="1:20">
      <c r="A83" s="3110">
        <v>9</v>
      </c>
      <c r="B83" s="3108">
        <v>0.8982</v>
      </c>
      <c r="C83" s="3108">
        <v>0.8982</v>
      </c>
      <c r="D83" s="3108">
        <v>0.82489999999999997</v>
      </c>
      <c r="E83" s="3108">
        <v>0.82489999999999997</v>
      </c>
      <c r="F83" s="3108">
        <v>0.82489999999999997</v>
      </c>
      <c r="G83" s="3108">
        <v>0.82489999999999997</v>
      </c>
      <c r="H83" s="3108">
        <v>0.82489999999999997</v>
      </c>
      <c r="I83" s="3108">
        <v>0.68879999999999997</v>
      </c>
      <c r="J83" s="3108">
        <v>0.68879999999999997</v>
      </c>
      <c r="K83" s="3108">
        <v>0.68879999999999997</v>
      </c>
      <c r="L83" s="3108">
        <v>0.68879999999999997</v>
      </c>
      <c r="M83" s="3109">
        <v>0.68879999999999997</v>
      </c>
    </row>
    <row r="84" spans="1:20">
      <c r="A84" s="3110">
        <v>9.1</v>
      </c>
      <c r="B84" s="3108">
        <v>0.89700000000000002</v>
      </c>
      <c r="C84" s="3108">
        <v>0.89700000000000002</v>
      </c>
      <c r="D84" s="3108">
        <v>0.82320000000000004</v>
      </c>
      <c r="E84" s="3108">
        <v>0.82320000000000004</v>
      </c>
      <c r="F84" s="3108">
        <v>0.82320000000000004</v>
      </c>
      <c r="G84" s="3108">
        <v>0.82320000000000004</v>
      </c>
      <c r="H84" s="3108">
        <v>0.82320000000000004</v>
      </c>
      <c r="I84" s="3108">
        <v>0.68659999999999999</v>
      </c>
      <c r="J84" s="3108">
        <v>0.68659999999999999</v>
      </c>
      <c r="K84" s="3108">
        <v>0.68659999999999999</v>
      </c>
      <c r="L84" s="3108">
        <v>0.68659999999999999</v>
      </c>
      <c r="M84" s="3109">
        <v>0.68659999999999999</v>
      </c>
    </row>
    <row r="85" spans="1:20">
      <c r="A85" s="3110">
        <v>9.1999999999999993</v>
      </c>
      <c r="B85" s="3108">
        <v>0.89580000000000004</v>
      </c>
      <c r="C85" s="3108">
        <v>0.89580000000000004</v>
      </c>
      <c r="D85" s="3108">
        <v>0.82150000000000001</v>
      </c>
      <c r="E85" s="3108">
        <v>0.82150000000000001</v>
      </c>
      <c r="F85" s="3108">
        <v>0.82150000000000001</v>
      </c>
      <c r="G85" s="3108">
        <v>0.82150000000000001</v>
      </c>
      <c r="H85" s="3108">
        <v>0.82150000000000001</v>
      </c>
      <c r="I85" s="3108">
        <v>0.6845</v>
      </c>
      <c r="J85" s="3108">
        <v>0.6845</v>
      </c>
      <c r="K85" s="3108">
        <v>0.6845</v>
      </c>
      <c r="L85" s="3108">
        <v>0.6845</v>
      </c>
      <c r="M85" s="3109">
        <v>0.6845</v>
      </c>
    </row>
    <row r="86" spans="1:20">
      <c r="A86" s="3110">
        <v>9.3000000000000007</v>
      </c>
      <c r="B86" s="3108">
        <v>0.89459999999999995</v>
      </c>
      <c r="C86" s="3108">
        <v>0.89459999999999995</v>
      </c>
      <c r="D86" s="3108">
        <v>0.81989999999999996</v>
      </c>
      <c r="E86" s="3108">
        <v>0.81989999999999996</v>
      </c>
      <c r="F86" s="3108">
        <v>0.81989999999999996</v>
      </c>
      <c r="G86" s="3108">
        <v>0.81989999999999996</v>
      </c>
      <c r="H86" s="3108">
        <v>0.81989999999999996</v>
      </c>
      <c r="I86" s="3108">
        <v>0.68240000000000001</v>
      </c>
      <c r="J86" s="3108">
        <v>0.68240000000000001</v>
      </c>
      <c r="K86" s="3108">
        <v>0.68240000000000001</v>
      </c>
      <c r="L86" s="3108">
        <v>0.68240000000000001</v>
      </c>
      <c r="M86" s="3109">
        <v>0.68240000000000001</v>
      </c>
    </row>
    <row r="87" spans="1:20">
      <c r="A87" s="3110">
        <v>9.4</v>
      </c>
      <c r="B87" s="3108">
        <v>0.89339999999999997</v>
      </c>
      <c r="C87" s="3108">
        <v>0.89339999999999997</v>
      </c>
      <c r="D87" s="3108">
        <v>0.81830000000000003</v>
      </c>
      <c r="E87" s="3108">
        <v>0.81830000000000003</v>
      </c>
      <c r="F87" s="3108">
        <v>0.81830000000000003</v>
      </c>
      <c r="G87" s="3108">
        <v>0.81830000000000003</v>
      </c>
      <c r="H87" s="3108">
        <v>0.81830000000000003</v>
      </c>
      <c r="I87" s="3108">
        <v>0.68030000000000002</v>
      </c>
      <c r="J87" s="3108">
        <v>0.68030000000000002</v>
      </c>
      <c r="K87" s="3108">
        <v>0.68030000000000002</v>
      </c>
      <c r="L87" s="3108">
        <v>0.68030000000000002</v>
      </c>
      <c r="M87" s="3109">
        <v>0.68030000000000002</v>
      </c>
    </row>
    <row r="88" spans="1:20">
      <c r="A88" s="3110">
        <v>9.5</v>
      </c>
      <c r="B88" s="3108">
        <v>0.89229999999999998</v>
      </c>
      <c r="C88" s="3108">
        <v>0.89229999999999998</v>
      </c>
      <c r="D88" s="3108">
        <v>0.81669999999999998</v>
      </c>
      <c r="E88" s="3108">
        <v>0.81669999999999998</v>
      </c>
      <c r="F88" s="3108">
        <v>0.81669999999999998</v>
      </c>
      <c r="G88" s="3108">
        <v>0.81669999999999998</v>
      </c>
      <c r="H88" s="3108">
        <v>0.81669999999999998</v>
      </c>
      <c r="I88" s="3108">
        <v>0.67830000000000001</v>
      </c>
      <c r="J88" s="3108">
        <v>0.67830000000000001</v>
      </c>
      <c r="K88" s="3108">
        <v>0.67830000000000001</v>
      </c>
      <c r="L88" s="3108">
        <v>0.67830000000000001</v>
      </c>
      <c r="M88" s="3109">
        <v>0.67830000000000001</v>
      </c>
    </row>
    <row r="89" spans="1:20">
      <c r="A89" s="3110">
        <v>9.6</v>
      </c>
      <c r="B89" s="3108">
        <v>0.89119999999999999</v>
      </c>
      <c r="C89" s="3108">
        <v>0.89119999999999999</v>
      </c>
      <c r="D89" s="3108">
        <v>0.81510000000000005</v>
      </c>
      <c r="E89" s="3108">
        <v>0.81510000000000005</v>
      </c>
      <c r="F89" s="3108">
        <v>0.81510000000000005</v>
      </c>
      <c r="G89" s="3108">
        <v>0.81510000000000005</v>
      </c>
      <c r="H89" s="3108">
        <v>0.81510000000000005</v>
      </c>
      <c r="I89" s="3108">
        <v>0.67630000000000001</v>
      </c>
      <c r="J89" s="3108">
        <v>0.67630000000000001</v>
      </c>
      <c r="K89" s="3108">
        <v>0.67630000000000001</v>
      </c>
      <c r="L89" s="3108">
        <v>0.67630000000000001</v>
      </c>
      <c r="M89" s="3109">
        <v>0.67630000000000001</v>
      </c>
    </row>
    <row r="90" spans="1:20">
      <c r="A90" s="3110">
        <v>9.6999999999999993</v>
      </c>
      <c r="B90" s="3108">
        <v>0.8901</v>
      </c>
      <c r="C90" s="3108">
        <v>0.8901</v>
      </c>
      <c r="D90" s="3108">
        <v>0.8135</v>
      </c>
      <c r="E90" s="3108">
        <v>0.8135</v>
      </c>
      <c r="F90" s="3108">
        <v>0.8135</v>
      </c>
      <c r="G90" s="3108">
        <v>0.8135</v>
      </c>
      <c r="H90" s="3108">
        <v>0.8135</v>
      </c>
      <c r="I90" s="3108">
        <v>0.67430000000000001</v>
      </c>
      <c r="J90" s="3108">
        <v>0.67430000000000001</v>
      </c>
      <c r="K90" s="3108">
        <v>0.67430000000000001</v>
      </c>
      <c r="L90" s="3108">
        <v>0.67430000000000001</v>
      </c>
      <c r="M90" s="3109">
        <v>0.67430000000000001</v>
      </c>
    </row>
    <row r="91" spans="1:20">
      <c r="A91" s="3110">
        <v>9.8000000000000007</v>
      </c>
      <c r="B91" s="3108">
        <v>0.88900000000000001</v>
      </c>
      <c r="C91" s="3108">
        <v>0.88900000000000001</v>
      </c>
      <c r="D91" s="3108">
        <v>0.81200000000000006</v>
      </c>
      <c r="E91" s="3108">
        <v>0.81200000000000006</v>
      </c>
      <c r="F91" s="3108">
        <v>0.81200000000000006</v>
      </c>
      <c r="G91" s="3108">
        <v>0.81200000000000006</v>
      </c>
      <c r="H91" s="3108">
        <v>0.81200000000000006</v>
      </c>
      <c r="I91" s="3108">
        <v>0.6724</v>
      </c>
      <c r="J91" s="3108">
        <v>0.6724</v>
      </c>
      <c r="K91" s="3108">
        <v>0.6724</v>
      </c>
      <c r="L91" s="3108">
        <v>0.6724</v>
      </c>
      <c r="M91" s="3109">
        <v>0.6724</v>
      </c>
    </row>
    <row r="92" spans="1:20" ht="14.25" thickBot="1">
      <c r="A92" s="3111">
        <v>9.9</v>
      </c>
      <c r="B92" s="3112">
        <v>0.88790000000000002</v>
      </c>
      <c r="C92" s="3112">
        <v>0.88790000000000002</v>
      </c>
      <c r="D92" s="3112">
        <v>0.8105</v>
      </c>
      <c r="E92" s="3112">
        <v>0.8105</v>
      </c>
      <c r="F92" s="3112">
        <v>0.8105</v>
      </c>
      <c r="G92" s="3112">
        <v>0.8105</v>
      </c>
      <c r="H92" s="3112">
        <v>0.8105</v>
      </c>
      <c r="I92" s="3112">
        <v>0.67049999999999998</v>
      </c>
      <c r="J92" s="3112">
        <v>0.67049999999999998</v>
      </c>
      <c r="K92" s="3112">
        <v>0.67049999999999998</v>
      </c>
      <c r="L92" s="3112">
        <v>0.67049999999999998</v>
      </c>
      <c r="M92" s="3113">
        <v>0.67049999999999998</v>
      </c>
    </row>
    <row r="93" spans="1:20" ht="15" thickBot="1">
      <c r="A93" s="3101" t="s">
        <v>2776</v>
      </c>
      <c r="B93" s="3101"/>
      <c r="C93" s="3101"/>
      <c r="D93" s="3101"/>
      <c r="E93" s="3101"/>
      <c r="F93" s="3101"/>
      <c r="G93" s="3101"/>
      <c r="H93" s="3101"/>
      <c r="I93" s="3101"/>
      <c r="J93" s="3101"/>
      <c r="K93" s="3101"/>
      <c r="L93" s="3101"/>
      <c r="M93" s="3101"/>
    </row>
    <row r="94" spans="1:20">
      <c r="A94" s="3102" t="s">
        <v>2775</v>
      </c>
      <c r="B94" s="3103" t="s">
        <v>2571</v>
      </c>
      <c r="C94" s="3103" t="s">
        <v>2572</v>
      </c>
      <c r="D94" s="3103" t="s">
        <v>2573</v>
      </c>
      <c r="E94" s="3103" t="s">
        <v>2574</v>
      </c>
      <c r="F94" s="3103" t="s">
        <v>2575</v>
      </c>
      <c r="G94" s="3103" t="s">
        <v>2576</v>
      </c>
      <c r="H94" s="3104" t="s">
        <v>2577</v>
      </c>
      <c r="I94" s="3104" t="s">
        <v>2578</v>
      </c>
      <c r="J94" s="3105" t="s">
        <v>2579</v>
      </c>
      <c r="K94" s="3105" t="s">
        <v>2580</v>
      </c>
      <c r="L94" s="3105" t="s">
        <v>2581</v>
      </c>
      <c r="M94" s="3106" t="s">
        <v>2582</v>
      </c>
      <c r="N94" s="750">
        <f>SUMPRODUCT((A95:A184=ROUNDDOWN(基准地价修正!G3,1))*(B94:M94=基准地价修正!G2)*(B95:M184))</f>
        <v>1.2158</v>
      </c>
      <c r="Q94" s="3116" t="s">
        <v>2780</v>
      </c>
      <c r="R94" s="3116" t="s">
        <v>2781</v>
      </c>
      <c r="S94" s="3116" t="s">
        <v>2782</v>
      </c>
      <c r="T94" s="3116" t="s">
        <v>2783</v>
      </c>
    </row>
    <row r="95" spans="1:20">
      <c r="A95" s="3107">
        <v>1</v>
      </c>
      <c r="B95" s="3108">
        <v>1.2501</v>
      </c>
      <c r="C95" s="3108">
        <v>1.2501</v>
      </c>
      <c r="D95" s="3108">
        <v>1.2158</v>
      </c>
      <c r="E95" s="3108">
        <v>1.2158</v>
      </c>
      <c r="F95" s="3108">
        <v>1.2158</v>
      </c>
      <c r="G95" s="3108">
        <v>1.2158</v>
      </c>
      <c r="H95" s="3108">
        <v>1.2158</v>
      </c>
      <c r="I95" s="3108">
        <v>1.2302</v>
      </c>
      <c r="J95" s="3108">
        <v>1.2302</v>
      </c>
      <c r="K95" s="3108">
        <v>1.2302</v>
      </c>
      <c r="L95" s="3108">
        <v>1.2302</v>
      </c>
      <c r="M95" s="3109">
        <v>1.2302</v>
      </c>
      <c r="Q95" s="3116">
        <v>10</v>
      </c>
      <c r="R95" s="3116">
        <f>ROUND(0.993-0.0112*Q95,4)</f>
        <v>0.88100000000000001</v>
      </c>
      <c r="S95" s="3116">
        <f>ROUND(0.9415-0.0142*Q95,4)</f>
        <v>0.79949999999999999</v>
      </c>
      <c r="T95" s="3116">
        <f>ROUND(0.8438-0.0182*Q95,4)</f>
        <v>0.66180000000000005</v>
      </c>
    </row>
    <row r="96" spans="1:20">
      <c r="A96" s="3107">
        <v>1.1000000000000001</v>
      </c>
      <c r="B96" s="3108">
        <v>1.2310000000000001</v>
      </c>
      <c r="C96" s="3108">
        <v>1.2310000000000001</v>
      </c>
      <c r="D96" s="3108">
        <v>1.1947000000000001</v>
      </c>
      <c r="E96" s="3108">
        <v>1.1947000000000001</v>
      </c>
      <c r="F96" s="3108">
        <v>1.1947000000000001</v>
      </c>
      <c r="G96" s="3108">
        <v>1.1947000000000001</v>
      </c>
      <c r="H96" s="3108">
        <v>1.1947000000000001</v>
      </c>
      <c r="I96" s="3108">
        <v>1.2008000000000001</v>
      </c>
      <c r="J96" s="3108">
        <v>1.2008000000000001</v>
      </c>
      <c r="K96" s="3108">
        <v>1.2008000000000001</v>
      </c>
      <c r="L96" s="3108">
        <v>1.2008000000000001</v>
      </c>
      <c r="M96" s="3109">
        <v>1.2008000000000001</v>
      </c>
    </row>
    <row r="97" spans="1:14">
      <c r="A97" s="3107">
        <v>1.2</v>
      </c>
      <c r="B97" s="3108">
        <v>1.2130000000000001</v>
      </c>
      <c r="C97" s="3108">
        <v>1.2130000000000001</v>
      </c>
      <c r="D97" s="3108">
        <v>1.1748000000000001</v>
      </c>
      <c r="E97" s="3108">
        <v>1.1748000000000001</v>
      </c>
      <c r="F97" s="3108">
        <v>1.1748000000000001</v>
      </c>
      <c r="G97" s="3108">
        <v>1.1748000000000001</v>
      </c>
      <c r="H97" s="3108">
        <v>1.1748000000000001</v>
      </c>
      <c r="I97" s="3108">
        <v>1.173</v>
      </c>
      <c r="J97" s="3108">
        <v>1.173</v>
      </c>
      <c r="K97" s="3108">
        <v>1.173</v>
      </c>
      <c r="L97" s="3108">
        <v>1.173</v>
      </c>
      <c r="M97" s="3109">
        <v>1.173</v>
      </c>
    </row>
    <row r="98" spans="1:14">
      <c r="A98" s="3107">
        <v>1.3</v>
      </c>
      <c r="B98" s="3108">
        <v>1.196</v>
      </c>
      <c r="C98" s="3108">
        <v>1.196</v>
      </c>
      <c r="D98" s="3108">
        <v>1.1559999999999999</v>
      </c>
      <c r="E98" s="3108">
        <v>1.1559999999999999</v>
      </c>
      <c r="F98" s="3108">
        <v>1.1559999999999999</v>
      </c>
      <c r="G98" s="3108">
        <v>1.1559999999999999</v>
      </c>
      <c r="H98" s="3108">
        <v>1.1559999999999999</v>
      </c>
      <c r="I98" s="3108">
        <v>1.1468</v>
      </c>
      <c r="J98" s="3108">
        <v>1.1468</v>
      </c>
      <c r="K98" s="3108">
        <v>1.1468</v>
      </c>
      <c r="L98" s="3108">
        <v>1.1468</v>
      </c>
      <c r="M98" s="3109">
        <v>1.1468</v>
      </c>
    </row>
    <row r="99" spans="1:14">
      <c r="A99" s="3107">
        <v>1.4</v>
      </c>
      <c r="B99" s="3108">
        <v>1.18</v>
      </c>
      <c r="C99" s="3108">
        <v>1.18</v>
      </c>
      <c r="D99" s="3108">
        <v>1.1382000000000001</v>
      </c>
      <c r="E99" s="3108">
        <v>1.1382000000000001</v>
      </c>
      <c r="F99" s="3108">
        <v>1.1382000000000001</v>
      </c>
      <c r="G99" s="3108">
        <v>1.1382000000000001</v>
      </c>
      <c r="H99" s="3108">
        <v>1.1382000000000001</v>
      </c>
      <c r="I99" s="3108">
        <v>1.1220000000000001</v>
      </c>
      <c r="J99" s="3108">
        <v>1.1220000000000001</v>
      </c>
      <c r="K99" s="3108">
        <v>1.1220000000000001</v>
      </c>
      <c r="L99" s="3108">
        <v>1.1220000000000001</v>
      </c>
      <c r="M99" s="3109">
        <v>1.1220000000000001</v>
      </c>
    </row>
    <row r="100" spans="1:14">
      <c r="A100" s="3107">
        <v>1.5</v>
      </c>
      <c r="B100" s="3108">
        <v>1.1649</v>
      </c>
      <c r="C100" s="3108">
        <v>1.1649</v>
      </c>
      <c r="D100" s="3108">
        <v>1.1214999999999999</v>
      </c>
      <c r="E100" s="3108">
        <v>1.1214999999999999</v>
      </c>
      <c r="F100" s="3108">
        <v>1.1214999999999999</v>
      </c>
      <c r="G100" s="3108">
        <v>1.1214999999999999</v>
      </c>
      <c r="H100" s="3108">
        <v>1.1214999999999999</v>
      </c>
      <c r="I100" s="3108">
        <v>1.0985</v>
      </c>
      <c r="J100" s="3108">
        <v>1.0985</v>
      </c>
      <c r="K100" s="3108">
        <v>1.0985</v>
      </c>
      <c r="L100" s="3108">
        <v>1.0985</v>
      </c>
      <c r="M100" s="3109">
        <v>1.0985</v>
      </c>
    </row>
    <row r="101" spans="1:14">
      <c r="A101" s="3107">
        <v>1.6</v>
      </c>
      <c r="B101" s="3108">
        <v>1.1507000000000001</v>
      </c>
      <c r="C101" s="3108">
        <v>1.1507000000000001</v>
      </c>
      <c r="D101" s="3108">
        <v>1.1056999999999999</v>
      </c>
      <c r="E101" s="3108">
        <v>1.1056999999999999</v>
      </c>
      <c r="F101" s="3108">
        <v>1.1056999999999999</v>
      </c>
      <c r="G101" s="3108">
        <v>1.1056999999999999</v>
      </c>
      <c r="H101" s="3108">
        <v>1.1056999999999999</v>
      </c>
      <c r="I101" s="3108">
        <v>1.0764</v>
      </c>
      <c r="J101" s="3108">
        <v>1.0764</v>
      </c>
      <c r="K101" s="3108">
        <v>1.0764</v>
      </c>
      <c r="L101" s="3108">
        <v>1.0764</v>
      </c>
      <c r="M101" s="3109">
        <v>1.0764</v>
      </c>
    </row>
    <row r="102" spans="1:14">
      <c r="A102" s="3107">
        <v>1.7</v>
      </c>
      <c r="B102" s="3108">
        <v>1.1373</v>
      </c>
      <c r="C102" s="3108">
        <v>1.1373</v>
      </c>
      <c r="D102" s="3108">
        <v>1.0908</v>
      </c>
      <c r="E102" s="3108">
        <v>1.0908</v>
      </c>
      <c r="F102" s="3108">
        <v>1.0908</v>
      </c>
      <c r="G102" s="3108">
        <v>1.0908</v>
      </c>
      <c r="H102" s="3108">
        <v>1.0908</v>
      </c>
      <c r="I102" s="3108">
        <v>1.0556000000000001</v>
      </c>
      <c r="J102" s="3108">
        <v>1.0556000000000001</v>
      </c>
      <c r="K102" s="3108">
        <v>1.0556000000000001</v>
      </c>
      <c r="L102" s="3108">
        <v>1.0556000000000001</v>
      </c>
      <c r="M102" s="3109">
        <v>1.0556000000000001</v>
      </c>
    </row>
    <row r="103" spans="1:14" ht="14.25">
      <c r="A103" s="3107">
        <v>1.8</v>
      </c>
      <c r="B103" s="3108">
        <v>1.1247</v>
      </c>
      <c r="C103" s="3108">
        <v>1.1247</v>
      </c>
      <c r="D103" s="3108">
        <v>1.0768</v>
      </c>
      <c r="E103" s="3108">
        <v>1.0768</v>
      </c>
      <c r="F103" s="3108">
        <v>1.0768</v>
      </c>
      <c r="G103" s="3108">
        <v>1.0768</v>
      </c>
      <c r="H103" s="3108">
        <v>1.0768</v>
      </c>
      <c r="I103" s="3108">
        <v>1.0359</v>
      </c>
      <c r="J103" s="3108">
        <v>1.0359</v>
      </c>
      <c r="K103" s="3108">
        <v>1.0359</v>
      </c>
      <c r="L103" s="3108">
        <v>1.0359</v>
      </c>
      <c r="M103" s="3109">
        <v>1.0359</v>
      </c>
      <c r="N103" s="749"/>
    </row>
    <row r="104" spans="1:14" ht="14.25">
      <c r="A104" s="3107">
        <v>1.9</v>
      </c>
      <c r="B104" s="3108">
        <v>1.1128</v>
      </c>
      <c r="C104" s="3108">
        <v>1.1128</v>
      </c>
      <c r="D104" s="3108">
        <v>1.0637000000000001</v>
      </c>
      <c r="E104" s="3108">
        <v>1.0637000000000001</v>
      </c>
      <c r="F104" s="3108">
        <v>1.0637000000000001</v>
      </c>
      <c r="G104" s="3108">
        <v>1.0637000000000001</v>
      </c>
      <c r="H104" s="3108">
        <v>1.0637000000000001</v>
      </c>
      <c r="I104" s="3108">
        <v>1.0174000000000001</v>
      </c>
      <c r="J104" s="3108">
        <v>1.0174000000000001</v>
      </c>
      <c r="K104" s="3108">
        <v>1.0174000000000001</v>
      </c>
      <c r="L104" s="3108">
        <v>1.0174000000000001</v>
      </c>
      <c r="M104" s="3109">
        <v>1.0174000000000001</v>
      </c>
      <c r="N104" s="749"/>
    </row>
    <row r="105" spans="1:14">
      <c r="A105" s="3107">
        <v>2</v>
      </c>
      <c r="B105" s="3108">
        <v>1.1016999999999999</v>
      </c>
      <c r="C105" s="3108">
        <v>1.1016999999999999</v>
      </c>
      <c r="D105" s="3108">
        <v>1.0512999999999999</v>
      </c>
      <c r="E105" s="3108">
        <v>1.0512999999999999</v>
      </c>
      <c r="F105" s="3108">
        <v>1.0512999999999999</v>
      </c>
      <c r="G105" s="3108">
        <v>1.0512999999999999</v>
      </c>
      <c r="H105" s="3108">
        <v>1.0512999999999999</v>
      </c>
      <c r="I105" s="3108">
        <v>1</v>
      </c>
      <c r="J105" s="3108">
        <v>1</v>
      </c>
      <c r="K105" s="3108">
        <v>1</v>
      </c>
      <c r="L105" s="3108">
        <v>1</v>
      </c>
      <c r="M105" s="3109">
        <v>1</v>
      </c>
    </row>
    <row r="106" spans="1:14">
      <c r="A106" s="3110">
        <v>2.1</v>
      </c>
      <c r="B106" s="3108">
        <v>1.0912999999999999</v>
      </c>
      <c r="C106" s="3108">
        <v>1.0912999999999999</v>
      </c>
      <c r="D106" s="3108">
        <v>1.0397000000000001</v>
      </c>
      <c r="E106" s="3108">
        <v>1.0397000000000001</v>
      </c>
      <c r="F106" s="3108">
        <v>1.0397000000000001</v>
      </c>
      <c r="G106" s="3108">
        <v>1.0397000000000001</v>
      </c>
      <c r="H106" s="3108">
        <v>1.0397000000000001</v>
      </c>
      <c r="I106" s="3108">
        <v>0.98360000000000003</v>
      </c>
      <c r="J106" s="3108">
        <v>0.98360000000000003</v>
      </c>
      <c r="K106" s="3108">
        <v>0.98360000000000003</v>
      </c>
      <c r="L106" s="3108">
        <v>0.98360000000000003</v>
      </c>
      <c r="M106" s="3109">
        <v>0.98360000000000003</v>
      </c>
    </row>
    <row r="107" spans="1:14">
      <c r="A107" s="3110">
        <v>2.2000000000000002</v>
      </c>
      <c r="B107" s="3108">
        <v>1.0814999999999999</v>
      </c>
      <c r="C107" s="3108">
        <v>1.0814999999999999</v>
      </c>
      <c r="D107" s="3108">
        <v>1.0287999999999999</v>
      </c>
      <c r="E107" s="3108">
        <v>1.0287999999999999</v>
      </c>
      <c r="F107" s="3108">
        <v>1.0287999999999999</v>
      </c>
      <c r="G107" s="3108">
        <v>1.0287999999999999</v>
      </c>
      <c r="H107" s="3108">
        <v>1.0287999999999999</v>
      </c>
      <c r="I107" s="3108">
        <v>0.96819999999999995</v>
      </c>
      <c r="J107" s="3108">
        <v>0.96819999999999995</v>
      </c>
      <c r="K107" s="3108">
        <v>0.96819999999999995</v>
      </c>
      <c r="L107" s="3108">
        <v>0.96819999999999995</v>
      </c>
      <c r="M107" s="3109">
        <v>0.96819999999999995</v>
      </c>
    </row>
    <row r="108" spans="1:14">
      <c r="A108" s="3110">
        <v>2.2999999999999998</v>
      </c>
      <c r="B108" s="3108">
        <v>1.0724</v>
      </c>
      <c r="C108" s="3108">
        <v>1.0724</v>
      </c>
      <c r="D108" s="3108">
        <v>1.0185999999999999</v>
      </c>
      <c r="E108" s="3108">
        <v>1.0185999999999999</v>
      </c>
      <c r="F108" s="3108">
        <v>1.0185999999999999</v>
      </c>
      <c r="G108" s="3108">
        <v>1.0185999999999999</v>
      </c>
      <c r="H108" s="3108">
        <v>1.0185999999999999</v>
      </c>
      <c r="I108" s="3108">
        <v>0.95369999999999999</v>
      </c>
      <c r="J108" s="3108">
        <v>0.95369999999999999</v>
      </c>
      <c r="K108" s="3108">
        <v>0.95369999999999999</v>
      </c>
      <c r="L108" s="3108">
        <v>0.95369999999999999</v>
      </c>
      <c r="M108" s="3109">
        <v>0.95369999999999999</v>
      </c>
    </row>
    <row r="109" spans="1:14">
      <c r="A109" s="3110">
        <v>2.4</v>
      </c>
      <c r="B109" s="3108">
        <v>1.0638000000000001</v>
      </c>
      <c r="C109" s="3108">
        <v>1.0638000000000001</v>
      </c>
      <c r="D109" s="3108">
        <v>1.0089999999999999</v>
      </c>
      <c r="E109" s="3108">
        <v>1.0089999999999999</v>
      </c>
      <c r="F109" s="3108">
        <v>1.0089999999999999</v>
      </c>
      <c r="G109" s="3108">
        <v>1.0089999999999999</v>
      </c>
      <c r="H109" s="3108">
        <v>1.0089999999999999</v>
      </c>
      <c r="I109" s="3108">
        <v>0.94010000000000005</v>
      </c>
      <c r="J109" s="3108">
        <v>0.94010000000000005</v>
      </c>
      <c r="K109" s="3108">
        <v>0.94010000000000005</v>
      </c>
      <c r="L109" s="3108">
        <v>0.94010000000000005</v>
      </c>
      <c r="M109" s="3109">
        <v>0.94010000000000005</v>
      </c>
    </row>
    <row r="110" spans="1:14">
      <c r="A110" s="3110">
        <v>2.5</v>
      </c>
      <c r="B110" s="3108">
        <v>1.0558000000000001</v>
      </c>
      <c r="C110" s="3108">
        <v>1.0558000000000001</v>
      </c>
      <c r="D110" s="3108">
        <v>1</v>
      </c>
      <c r="E110" s="3108">
        <v>1</v>
      </c>
      <c r="F110" s="3108">
        <v>1</v>
      </c>
      <c r="G110" s="3108">
        <v>1</v>
      </c>
      <c r="H110" s="3108">
        <v>1</v>
      </c>
      <c r="I110" s="3108">
        <v>0.9274</v>
      </c>
      <c r="J110" s="3108">
        <v>0.9274</v>
      </c>
      <c r="K110" s="3108">
        <v>0.9274</v>
      </c>
      <c r="L110" s="3108">
        <v>0.9274</v>
      </c>
      <c r="M110" s="3109">
        <v>0.9274</v>
      </c>
    </row>
    <row r="111" spans="1:14">
      <c r="A111" s="3110">
        <v>2.6</v>
      </c>
      <c r="B111" s="3108">
        <v>1.0483</v>
      </c>
      <c r="C111" s="3108">
        <v>1.0483</v>
      </c>
      <c r="D111" s="3108">
        <v>0.99160000000000004</v>
      </c>
      <c r="E111" s="3108">
        <v>0.99160000000000004</v>
      </c>
      <c r="F111" s="3108">
        <v>0.99160000000000004</v>
      </c>
      <c r="G111" s="3108">
        <v>0.99160000000000004</v>
      </c>
      <c r="H111" s="3108">
        <v>0.99160000000000004</v>
      </c>
      <c r="I111" s="3108">
        <v>0.91539999999999999</v>
      </c>
      <c r="J111" s="3108">
        <v>0.91539999999999999</v>
      </c>
      <c r="K111" s="3108">
        <v>0.91539999999999999</v>
      </c>
      <c r="L111" s="3108">
        <v>0.91539999999999999</v>
      </c>
      <c r="M111" s="3109">
        <v>0.91539999999999999</v>
      </c>
    </row>
    <row r="112" spans="1:14">
      <c r="A112" s="3110">
        <v>2.7</v>
      </c>
      <c r="B112" s="3108">
        <v>1.0412999999999999</v>
      </c>
      <c r="C112" s="3108">
        <v>1.0412999999999999</v>
      </c>
      <c r="D112" s="3108">
        <v>0.98370000000000002</v>
      </c>
      <c r="E112" s="3108">
        <v>0.98370000000000002</v>
      </c>
      <c r="F112" s="3108">
        <v>0.98370000000000002</v>
      </c>
      <c r="G112" s="3108">
        <v>0.98370000000000002</v>
      </c>
      <c r="H112" s="3108">
        <v>0.98370000000000002</v>
      </c>
      <c r="I112" s="3108">
        <v>0.90429999999999999</v>
      </c>
      <c r="J112" s="3108">
        <v>0.90429999999999999</v>
      </c>
      <c r="K112" s="3108">
        <v>0.90429999999999999</v>
      </c>
      <c r="L112" s="3108">
        <v>0.90429999999999999</v>
      </c>
      <c r="M112" s="3109">
        <v>0.90429999999999999</v>
      </c>
    </row>
    <row r="113" spans="1:13">
      <c r="A113" s="3110">
        <v>2.8</v>
      </c>
      <c r="B113" s="3108">
        <v>1.0347999999999999</v>
      </c>
      <c r="C113" s="3108">
        <v>1.0347999999999999</v>
      </c>
      <c r="D113" s="3108">
        <v>0.97640000000000005</v>
      </c>
      <c r="E113" s="3108">
        <v>0.97640000000000005</v>
      </c>
      <c r="F113" s="3108">
        <v>0.97640000000000005</v>
      </c>
      <c r="G113" s="3108">
        <v>0.97640000000000005</v>
      </c>
      <c r="H113" s="3108">
        <v>0.97640000000000005</v>
      </c>
      <c r="I113" s="3108">
        <v>0.89370000000000005</v>
      </c>
      <c r="J113" s="3108">
        <v>0.89370000000000005</v>
      </c>
      <c r="K113" s="3108">
        <v>0.89370000000000005</v>
      </c>
      <c r="L113" s="3108">
        <v>0.89370000000000005</v>
      </c>
      <c r="M113" s="3109">
        <v>0.89370000000000005</v>
      </c>
    </row>
    <row r="114" spans="1:13">
      <c r="A114" s="3110">
        <v>2.9</v>
      </c>
      <c r="B114" s="3108">
        <v>1.0286999999999999</v>
      </c>
      <c r="C114" s="3108">
        <v>1.0286999999999999</v>
      </c>
      <c r="D114" s="3108">
        <v>0.96950000000000003</v>
      </c>
      <c r="E114" s="3108">
        <v>0.96950000000000003</v>
      </c>
      <c r="F114" s="3108">
        <v>0.96950000000000003</v>
      </c>
      <c r="G114" s="3108">
        <v>0.96950000000000003</v>
      </c>
      <c r="H114" s="3108">
        <v>0.96950000000000003</v>
      </c>
      <c r="I114" s="3108">
        <v>0.88390000000000002</v>
      </c>
      <c r="J114" s="3108">
        <v>0.88390000000000002</v>
      </c>
      <c r="K114" s="3108">
        <v>0.88390000000000002</v>
      </c>
      <c r="L114" s="3108">
        <v>0.88390000000000002</v>
      </c>
      <c r="M114" s="3109">
        <v>0.88390000000000002</v>
      </c>
    </row>
    <row r="115" spans="1:13">
      <c r="A115" s="3110">
        <v>3</v>
      </c>
      <c r="B115" s="3108">
        <v>1.0229999999999999</v>
      </c>
      <c r="C115" s="3108">
        <v>1.0229999999999999</v>
      </c>
      <c r="D115" s="3108">
        <v>0.96309999999999996</v>
      </c>
      <c r="E115" s="3108">
        <v>0.96309999999999996</v>
      </c>
      <c r="F115" s="3108">
        <v>0.96309999999999996</v>
      </c>
      <c r="G115" s="3108">
        <v>0.96309999999999996</v>
      </c>
      <c r="H115" s="3108">
        <v>0.96309999999999996</v>
      </c>
      <c r="I115" s="3108">
        <v>0.87460000000000004</v>
      </c>
      <c r="J115" s="3108">
        <v>0.87460000000000004</v>
      </c>
      <c r="K115" s="3108">
        <v>0.87460000000000004</v>
      </c>
      <c r="L115" s="3108">
        <v>0.87460000000000004</v>
      </c>
      <c r="M115" s="3109">
        <v>0.87460000000000004</v>
      </c>
    </row>
    <row r="116" spans="1:13">
      <c r="A116" s="3110">
        <v>3.1</v>
      </c>
      <c r="B116" s="3108">
        <v>1.0177</v>
      </c>
      <c r="C116" s="3108">
        <v>1.0177</v>
      </c>
      <c r="D116" s="3108">
        <v>0.95709999999999995</v>
      </c>
      <c r="E116" s="3108">
        <v>0.95709999999999995</v>
      </c>
      <c r="F116" s="3108">
        <v>0.95709999999999995</v>
      </c>
      <c r="G116" s="3108">
        <v>0.95709999999999995</v>
      </c>
      <c r="H116" s="3108">
        <v>0.95709999999999995</v>
      </c>
      <c r="I116" s="3108">
        <v>0.8659</v>
      </c>
      <c r="J116" s="3108">
        <v>0.8659</v>
      </c>
      <c r="K116" s="3108">
        <v>0.8659</v>
      </c>
      <c r="L116" s="3108">
        <v>0.8659</v>
      </c>
      <c r="M116" s="3109">
        <v>0.8659</v>
      </c>
    </row>
    <row r="117" spans="1:13">
      <c r="A117" s="3110">
        <v>3.2</v>
      </c>
      <c r="B117" s="3108">
        <v>1.0127999999999999</v>
      </c>
      <c r="C117" s="3108">
        <v>1.0127999999999999</v>
      </c>
      <c r="D117" s="3108">
        <v>0.9516</v>
      </c>
      <c r="E117" s="3108">
        <v>0.9516</v>
      </c>
      <c r="F117" s="3108">
        <v>0.9516</v>
      </c>
      <c r="G117" s="3108">
        <v>0.9516</v>
      </c>
      <c r="H117" s="3108">
        <v>0.9516</v>
      </c>
      <c r="I117" s="3108">
        <v>0.85780000000000001</v>
      </c>
      <c r="J117" s="3108">
        <v>0.85780000000000001</v>
      </c>
      <c r="K117" s="3108">
        <v>0.85780000000000001</v>
      </c>
      <c r="L117" s="3108">
        <v>0.85780000000000001</v>
      </c>
      <c r="M117" s="3109">
        <v>0.85780000000000001</v>
      </c>
    </row>
    <row r="118" spans="1:13">
      <c r="A118" s="3110">
        <v>3.3</v>
      </c>
      <c r="B118" s="3108">
        <v>1.0082</v>
      </c>
      <c r="C118" s="3108">
        <v>1.0082</v>
      </c>
      <c r="D118" s="3108">
        <v>0.94640000000000002</v>
      </c>
      <c r="E118" s="3108">
        <v>0.94640000000000002</v>
      </c>
      <c r="F118" s="3108">
        <v>0.94640000000000002</v>
      </c>
      <c r="G118" s="3108">
        <v>0.94640000000000002</v>
      </c>
      <c r="H118" s="3108">
        <v>0.94640000000000002</v>
      </c>
      <c r="I118" s="3108">
        <v>0.85029999999999994</v>
      </c>
      <c r="J118" s="3108">
        <v>0.85029999999999994</v>
      </c>
      <c r="K118" s="3108">
        <v>0.85029999999999994</v>
      </c>
      <c r="L118" s="3108">
        <v>0.85029999999999994</v>
      </c>
      <c r="M118" s="3109">
        <v>0.85029999999999994</v>
      </c>
    </row>
    <row r="119" spans="1:13">
      <c r="A119" s="3110">
        <v>3.4</v>
      </c>
      <c r="B119" s="3108">
        <v>1.004</v>
      </c>
      <c r="C119" s="3108">
        <v>1.004</v>
      </c>
      <c r="D119" s="3108">
        <v>0.9415</v>
      </c>
      <c r="E119" s="3108">
        <v>0.9415</v>
      </c>
      <c r="F119" s="3108">
        <v>0.9415</v>
      </c>
      <c r="G119" s="3108">
        <v>0.9415</v>
      </c>
      <c r="H119" s="3108">
        <v>0.9415</v>
      </c>
      <c r="I119" s="3108">
        <v>0.84319999999999995</v>
      </c>
      <c r="J119" s="3108">
        <v>0.84319999999999995</v>
      </c>
      <c r="K119" s="3108">
        <v>0.84319999999999995</v>
      </c>
      <c r="L119" s="3108">
        <v>0.84319999999999995</v>
      </c>
      <c r="M119" s="3109">
        <v>0.84319999999999995</v>
      </c>
    </row>
    <row r="120" spans="1:13">
      <c r="A120" s="3110">
        <v>3.5</v>
      </c>
      <c r="B120" s="3108">
        <v>1</v>
      </c>
      <c r="C120" s="3108">
        <v>1</v>
      </c>
      <c r="D120" s="3108">
        <v>0.93700000000000006</v>
      </c>
      <c r="E120" s="3108">
        <v>0.93700000000000006</v>
      </c>
      <c r="F120" s="3108">
        <v>0.93700000000000006</v>
      </c>
      <c r="G120" s="3108">
        <v>0.93700000000000006</v>
      </c>
      <c r="H120" s="3108">
        <v>0.93700000000000006</v>
      </c>
      <c r="I120" s="3108">
        <v>0.83660000000000001</v>
      </c>
      <c r="J120" s="3108">
        <v>0.83660000000000001</v>
      </c>
      <c r="K120" s="3108">
        <v>0.83660000000000001</v>
      </c>
      <c r="L120" s="3108">
        <v>0.83660000000000001</v>
      </c>
      <c r="M120" s="3109">
        <v>0.83660000000000001</v>
      </c>
    </row>
    <row r="121" spans="1:13">
      <c r="A121" s="3110">
        <v>3.6</v>
      </c>
      <c r="B121" s="3108">
        <v>0.99629999999999996</v>
      </c>
      <c r="C121" s="3108">
        <v>0.99629999999999996</v>
      </c>
      <c r="D121" s="3108">
        <v>0.93279999999999996</v>
      </c>
      <c r="E121" s="3108">
        <v>0.93279999999999996</v>
      </c>
      <c r="F121" s="3108">
        <v>0.93279999999999996</v>
      </c>
      <c r="G121" s="3108">
        <v>0.93279999999999996</v>
      </c>
      <c r="H121" s="3108">
        <v>0.93279999999999996</v>
      </c>
      <c r="I121" s="3108">
        <v>0.83040000000000003</v>
      </c>
      <c r="J121" s="3108">
        <v>0.83040000000000003</v>
      </c>
      <c r="K121" s="3108">
        <v>0.83040000000000003</v>
      </c>
      <c r="L121" s="3108">
        <v>0.83040000000000003</v>
      </c>
      <c r="M121" s="3109">
        <v>0.83040000000000003</v>
      </c>
    </row>
    <row r="122" spans="1:13">
      <c r="A122" s="3110">
        <v>3.7</v>
      </c>
      <c r="B122" s="3108">
        <v>0.9929</v>
      </c>
      <c r="C122" s="3108">
        <v>0.9929</v>
      </c>
      <c r="D122" s="3108">
        <v>0.92879999999999996</v>
      </c>
      <c r="E122" s="3108">
        <v>0.92879999999999996</v>
      </c>
      <c r="F122" s="3108">
        <v>0.92879999999999996</v>
      </c>
      <c r="G122" s="3108">
        <v>0.92879999999999996</v>
      </c>
      <c r="H122" s="3108">
        <v>0.92879999999999996</v>
      </c>
      <c r="I122" s="3108">
        <v>0.8246</v>
      </c>
      <c r="J122" s="3108">
        <v>0.8246</v>
      </c>
      <c r="K122" s="3108">
        <v>0.8246</v>
      </c>
      <c r="L122" s="3108">
        <v>0.8246</v>
      </c>
      <c r="M122" s="3109">
        <v>0.8246</v>
      </c>
    </row>
    <row r="123" spans="1:13">
      <c r="A123" s="3110">
        <v>3.8</v>
      </c>
      <c r="B123" s="3108">
        <v>0.98970000000000002</v>
      </c>
      <c r="C123" s="3108">
        <v>0.98970000000000002</v>
      </c>
      <c r="D123" s="3108">
        <v>0.92520000000000002</v>
      </c>
      <c r="E123" s="3108">
        <v>0.92520000000000002</v>
      </c>
      <c r="F123" s="3108">
        <v>0.92520000000000002</v>
      </c>
      <c r="G123" s="3108">
        <v>0.92520000000000002</v>
      </c>
      <c r="H123" s="3108">
        <v>0.92520000000000002</v>
      </c>
      <c r="I123" s="3108">
        <v>0.81920000000000004</v>
      </c>
      <c r="J123" s="3108">
        <v>0.81920000000000004</v>
      </c>
      <c r="K123" s="3108">
        <v>0.81920000000000004</v>
      </c>
      <c r="L123" s="3108">
        <v>0.81920000000000004</v>
      </c>
      <c r="M123" s="3109">
        <v>0.81920000000000004</v>
      </c>
    </row>
    <row r="124" spans="1:13">
      <c r="A124" s="3110">
        <v>3.9</v>
      </c>
      <c r="B124" s="3108">
        <v>0.98670000000000002</v>
      </c>
      <c r="C124" s="3108">
        <v>0.98670000000000002</v>
      </c>
      <c r="D124" s="3108">
        <v>0.92179999999999995</v>
      </c>
      <c r="E124" s="3108">
        <v>0.92179999999999995</v>
      </c>
      <c r="F124" s="3108">
        <v>0.92179999999999995</v>
      </c>
      <c r="G124" s="3108">
        <v>0.92179999999999995</v>
      </c>
      <c r="H124" s="3108">
        <v>0.92179999999999995</v>
      </c>
      <c r="I124" s="3108">
        <v>0.81410000000000005</v>
      </c>
      <c r="J124" s="3108">
        <v>0.81410000000000005</v>
      </c>
      <c r="K124" s="3108">
        <v>0.81410000000000005</v>
      </c>
      <c r="L124" s="3108">
        <v>0.81410000000000005</v>
      </c>
      <c r="M124" s="3109">
        <v>0.81410000000000005</v>
      </c>
    </row>
    <row r="125" spans="1:13">
      <c r="A125" s="3110">
        <v>4</v>
      </c>
      <c r="B125" s="3108">
        <v>0.98380000000000001</v>
      </c>
      <c r="C125" s="3108">
        <v>0.98380000000000001</v>
      </c>
      <c r="D125" s="3108">
        <v>0.91859999999999997</v>
      </c>
      <c r="E125" s="3108">
        <v>0.91859999999999997</v>
      </c>
      <c r="F125" s="3108">
        <v>0.91859999999999997</v>
      </c>
      <c r="G125" s="3108">
        <v>0.91859999999999997</v>
      </c>
      <c r="H125" s="3108">
        <v>0.91859999999999997</v>
      </c>
      <c r="I125" s="3108">
        <v>0.80940000000000001</v>
      </c>
      <c r="J125" s="3108">
        <v>0.80940000000000001</v>
      </c>
      <c r="K125" s="3108">
        <v>0.80940000000000001</v>
      </c>
      <c r="L125" s="3108">
        <v>0.80940000000000001</v>
      </c>
      <c r="M125" s="3109">
        <v>0.80940000000000001</v>
      </c>
    </row>
    <row r="126" spans="1:13">
      <c r="A126" s="3110">
        <v>4.0999999999999996</v>
      </c>
      <c r="B126" s="3108">
        <v>0.98099999999999998</v>
      </c>
      <c r="C126" s="3108">
        <v>0.98099999999999998</v>
      </c>
      <c r="D126" s="3108">
        <v>0.91559999999999997</v>
      </c>
      <c r="E126" s="3108">
        <v>0.91559999999999997</v>
      </c>
      <c r="F126" s="3108">
        <v>0.91559999999999997</v>
      </c>
      <c r="G126" s="3108">
        <v>0.91559999999999997</v>
      </c>
      <c r="H126" s="3108">
        <v>0.91559999999999997</v>
      </c>
      <c r="I126" s="3108">
        <v>0.80489999999999995</v>
      </c>
      <c r="J126" s="3108">
        <v>0.80489999999999995</v>
      </c>
      <c r="K126" s="3108">
        <v>0.80489999999999995</v>
      </c>
      <c r="L126" s="3108">
        <v>0.80489999999999995</v>
      </c>
      <c r="M126" s="3109">
        <v>0.80489999999999995</v>
      </c>
    </row>
    <row r="127" spans="1:13">
      <c r="A127" s="3110">
        <v>4.2</v>
      </c>
      <c r="B127" s="3108">
        <v>0.97829999999999995</v>
      </c>
      <c r="C127" s="3108">
        <v>0.97829999999999995</v>
      </c>
      <c r="D127" s="3108">
        <v>0.91269999999999996</v>
      </c>
      <c r="E127" s="3108">
        <v>0.91269999999999996</v>
      </c>
      <c r="F127" s="3108">
        <v>0.91269999999999996</v>
      </c>
      <c r="G127" s="3108">
        <v>0.91269999999999996</v>
      </c>
      <c r="H127" s="3108">
        <v>0.91269999999999996</v>
      </c>
      <c r="I127" s="3108">
        <v>0.80059999999999998</v>
      </c>
      <c r="J127" s="3108">
        <v>0.80059999999999998</v>
      </c>
      <c r="K127" s="3108">
        <v>0.80059999999999998</v>
      </c>
      <c r="L127" s="3108">
        <v>0.80059999999999998</v>
      </c>
      <c r="M127" s="3109">
        <v>0.80059999999999998</v>
      </c>
    </row>
    <row r="128" spans="1:13">
      <c r="A128" s="3110">
        <v>4.3</v>
      </c>
      <c r="B128" s="3108">
        <v>0.97570000000000001</v>
      </c>
      <c r="C128" s="3108">
        <v>0.97570000000000001</v>
      </c>
      <c r="D128" s="3108">
        <v>0.90990000000000004</v>
      </c>
      <c r="E128" s="3108">
        <v>0.90990000000000004</v>
      </c>
      <c r="F128" s="3108">
        <v>0.90990000000000004</v>
      </c>
      <c r="G128" s="3108">
        <v>0.90990000000000004</v>
      </c>
      <c r="H128" s="3108">
        <v>0.90990000000000004</v>
      </c>
      <c r="I128" s="3108">
        <v>0.79649999999999999</v>
      </c>
      <c r="J128" s="3108">
        <v>0.79649999999999999</v>
      </c>
      <c r="K128" s="3108">
        <v>0.79649999999999999</v>
      </c>
      <c r="L128" s="3108">
        <v>0.79649999999999999</v>
      </c>
      <c r="M128" s="3109">
        <v>0.79649999999999999</v>
      </c>
    </row>
    <row r="129" spans="1:13">
      <c r="A129" s="3110">
        <v>4.4000000000000004</v>
      </c>
      <c r="B129" s="3108">
        <v>0.97319999999999995</v>
      </c>
      <c r="C129" s="3108">
        <v>0.97319999999999995</v>
      </c>
      <c r="D129" s="3108">
        <v>0.90720000000000001</v>
      </c>
      <c r="E129" s="3108">
        <v>0.90720000000000001</v>
      </c>
      <c r="F129" s="3108">
        <v>0.90720000000000001</v>
      </c>
      <c r="G129" s="3108">
        <v>0.90720000000000001</v>
      </c>
      <c r="H129" s="3108">
        <v>0.90720000000000001</v>
      </c>
      <c r="I129" s="3108">
        <v>0.79259999999999997</v>
      </c>
      <c r="J129" s="3108">
        <v>0.79259999999999997</v>
      </c>
      <c r="K129" s="3108">
        <v>0.79259999999999997</v>
      </c>
      <c r="L129" s="3108">
        <v>0.79259999999999997</v>
      </c>
      <c r="M129" s="3109">
        <v>0.79259999999999997</v>
      </c>
    </row>
    <row r="130" spans="1:13">
      <c r="A130" s="3110">
        <v>4.5</v>
      </c>
      <c r="B130" s="3108">
        <v>0.9708</v>
      </c>
      <c r="C130" s="3108">
        <v>0.9708</v>
      </c>
      <c r="D130" s="3108">
        <v>0.90459999999999996</v>
      </c>
      <c r="E130" s="3108">
        <v>0.90459999999999996</v>
      </c>
      <c r="F130" s="3108">
        <v>0.90459999999999996</v>
      </c>
      <c r="G130" s="3108">
        <v>0.90459999999999996</v>
      </c>
      <c r="H130" s="3108">
        <v>0.90459999999999996</v>
      </c>
      <c r="I130" s="3108">
        <v>0.78890000000000005</v>
      </c>
      <c r="J130" s="3108">
        <v>0.78890000000000005</v>
      </c>
      <c r="K130" s="3108">
        <v>0.78890000000000005</v>
      </c>
      <c r="L130" s="3108">
        <v>0.78890000000000005</v>
      </c>
      <c r="M130" s="3109">
        <v>0.78890000000000005</v>
      </c>
    </row>
    <row r="131" spans="1:13">
      <c r="A131" s="3110">
        <v>4.5999999999999996</v>
      </c>
      <c r="B131" s="3108">
        <v>0.96850000000000003</v>
      </c>
      <c r="C131" s="3108">
        <v>0.96850000000000003</v>
      </c>
      <c r="D131" s="3108">
        <v>0.90210000000000001</v>
      </c>
      <c r="E131" s="3108">
        <v>0.90210000000000001</v>
      </c>
      <c r="F131" s="3108">
        <v>0.90210000000000001</v>
      </c>
      <c r="G131" s="3108">
        <v>0.90210000000000001</v>
      </c>
      <c r="H131" s="3108">
        <v>0.90210000000000001</v>
      </c>
      <c r="I131" s="3108">
        <v>0.78539999999999999</v>
      </c>
      <c r="J131" s="3108">
        <v>0.78539999999999999</v>
      </c>
      <c r="K131" s="3108">
        <v>0.78539999999999999</v>
      </c>
      <c r="L131" s="3108">
        <v>0.78539999999999999</v>
      </c>
      <c r="M131" s="3109">
        <v>0.78539999999999999</v>
      </c>
    </row>
    <row r="132" spans="1:13">
      <c r="A132" s="3110">
        <v>4.7</v>
      </c>
      <c r="B132" s="3108">
        <v>0.96630000000000005</v>
      </c>
      <c r="C132" s="3108">
        <v>0.96630000000000005</v>
      </c>
      <c r="D132" s="3108">
        <v>0.89959999999999996</v>
      </c>
      <c r="E132" s="3108">
        <v>0.89959999999999996</v>
      </c>
      <c r="F132" s="3108">
        <v>0.89959999999999996</v>
      </c>
      <c r="G132" s="3108">
        <v>0.89959999999999996</v>
      </c>
      <c r="H132" s="3108">
        <v>0.89959999999999996</v>
      </c>
      <c r="I132" s="3108">
        <v>0.78210000000000002</v>
      </c>
      <c r="J132" s="3108">
        <v>0.78210000000000002</v>
      </c>
      <c r="K132" s="3108">
        <v>0.78210000000000002</v>
      </c>
      <c r="L132" s="3108">
        <v>0.78210000000000002</v>
      </c>
      <c r="M132" s="3109">
        <v>0.78210000000000002</v>
      </c>
    </row>
    <row r="133" spans="1:13">
      <c r="A133" s="3110">
        <v>4.8</v>
      </c>
      <c r="B133" s="3108">
        <v>0.96409999999999996</v>
      </c>
      <c r="C133" s="3108">
        <v>0.96409999999999996</v>
      </c>
      <c r="D133" s="3108">
        <v>0.8972</v>
      </c>
      <c r="E133" s="3108">
        <v>0.8972</v>
      </c>
      <c r="F133" s="3108">
        <v>0.8972</v>
      </c>
      <c r="G133" s="3108">
        <v>0.8972</v>
      </c>
      <c r="H133" s="3108">
        <v>0.8972</v>
      </c>
      <c r="I133" s="3108">
        <v>0.77890000000000004</v>
      </c>
      <c r="J133" s="3108">
        <v>0.77890000000000004</v>
      </c>
      <c r="K133" s="3108">
        <v>0.77890000000000004</v>
      </c>
      <c r="L133" s="3108">
        <v>0.77890000000000004</v>
      </c>
      <c r="M133" s="3109">
        <v>0.77890000000000004</v>
      </c>
    </row>
    <row r="134" spans="1:13">
      <c r="A134" s="3110">
        <v>4.9000000000000004</v>
      </c>
      <c r="B134" s="3108">
        <v>0.96199999999999997</v>
      </c>
      <c r="C134" s="3108">
        <v>0.96199999999999997</v>
      </c>
      <c r="D134" s="3108">
        <v>0.89480000000000004</v>
      </c>
      <c r="E134" s="3108">
        <v>0.89480000000000004</v>
      </c>
      <c r="F134" s="3108">
        <v>0.89480000000000004</v>
      </c>
      <c r="G134" s="3108">
        <v>0.89480000000000004</v>
      </c>
      <c r="H134" s="3108">
        <v>0.89480000000000004</v>
      </c>
      <c r="I134" s="3108">
        <v>0.77580000000000005</v>
      </c>
      <c r="J134" s="3108">
        <v>0.77580000000000005</v>
      </c>
      <c r="K134" s="3108">
        <v>0.77580000000000005</v>
      </c>
      <c r="L134" s="3108">
        <v>0.77580000000000005</v>
      </c>
      <c r="M134" s="3109">
        <v>0.77580000000000005</v>
      </c>
    </row>
    <row r="135" spans="1:13">
      <c r="A135" s="3110">
        <v>5</v>
      </c>
      <c r="B135" s="3108">
        <v>0.95989999999999998</v>
      </c>
      <c r="C135" s="3108">
        <v>0.95989999999999998</v>
      </c>
      <c r="D135" s="3108">
        <v>0.89239999999999997</v>
      </c>
      <c r="E135" s="3108">
        <v>0.89239999999999997</v>
      </c>
      <c r="F135" s="3108">
        <v>0.89239999999999997</v>
      </c>
      <c r="G135" s="3108">
        <v>0.89239999999999997</v>
      </c>
      <c r="H135" s="3108">
        <v>0.89239999999999997</v>
      </c>
      <c r="I135" s="3108">
        <v>0.77280000000000004</v>
      </c>
      <c r="J135" s="3108">
        <v>0.77280000000000004</v>
      </c>
      <c r="K135" s="3108">
        <v>0.77280000000000004</v>
      </c>
      <c r="L135" s="3108">
        <v>0.77280000000000004</v>
      </c>
      <c r="M135" s="3109">
        <v>0.77280000000000004</v>
      </c>
    </row>
    <row r="136" spans="1:13">
      <c r="A136" s="3107">
        <v>5.0999999999999996</v>
      </c>
      <c r="B136" s="3108">
        <v>0.95779999999999998</v>
      </c>
      <c r="C136" s="3108">
        <v>0.95779999999999998</v>
      </c>
      <c r="D136" s="3108">
        <v>0.8901</v>
      </c>
      <c r="E136" s="3108">
        <v>0.8901</v>
      </c>
      <c r="F136" s="3108">
        <v>0.8901</v>
      </c>
      <c r="G136" s="3108">
        <v>0.8901</v>
      </c>
      <c r="H136" s="3108">
        <v>0.8901</v>
      </c>
      <c r="I136" s="3108">
        <v>0.76990000000000003</v>
      </c>
      <c r="J136" s="3108">
        <v>0.76990000000000003</v>
      </c>
      <c r="K136" s="3108">
        <v>0.76990000000000003</v>
      </c>
      <c r="L136" s="3108">
        <v>0.76990000000000003</v>
      </c>
      <c r="M136" s="3109">
        <v>0.76990000000000003</v>
      </c>
    </row>
    <row r="137" spans="1:13">
      <c r="A137" s="3107">
        <v>5.2</v>
      </c>
      <c r="B137" s="3108">
        <v>0.95579999999999998</v>
      </c>
      <c r="C137" s="3108">
        <v>0.95579999999999998</v>
      </c>
      <c r="D137" s="3108">
        <v>0.88780000000000003</v>
      </c>
      <c r="E137" s="3108">
        <v>0.88780000000000003</v>
      </c>
      <c r="F137" s="3108">
        <v>0.88780000000000003</v>
      </c>
      <c r="G137" s="3108">
        <v>0.88780000000000003</v>
      </c>
      <c r="H137" s="3108">
        <v>0.88780000000000003</v>
      </c>
      <c r="I137" s="3108">
        <v>0.76700000000000002</v>
      </c>
      <c r="J137" s="3108">
        <v>0.76700000000000002</v>
      </c>
      <c r="K137" s="3108">
        <v>0.76700000000000002</v>
      </c>
      <c r="L137" s="3108">
        <v>0.76700000000000002</v>
      </c>
      <c r="M137" s="3109">
        <v>0.76700000000000002</v>
      </c>
    </row>
    <row r="138" spans="1:13">
      <c r="A138" s="3107">
        <v>5.3</v>
      </c>
      <c r="B138" s="3108">
        <v>0.95379999999999998</v>
      </c>
      <c r="C138" s="3108">
        <v>0.95379999999999998</v>
      </c>
      <c r="D138" s="3108">
        <v>0.88549999999999995</v>
      </c>
      <c r="E138" s="3108">
        <v>0.88549999999999995</v>
      </c>
      <c r="F138" s="3108">
        <v>0.88549999999999995</v>
      </c>
      <c r="G138" s="3108">
        <v>0.88549999999999995</v>
      </c>
      <c r="H138" s="3108">
        <v>0.88549999999999995</v>
      </c>
      <c r="I138" s="3108">
        <v>0.76419999999999999</v>
      </c>
      <c r="J138" s="3108">
        <v>0.76419999999999999</v>
      </c>
      <c r="K138" s="3108">
        <v>0.76419999999999999</v>
      </c>
      <c r="L138" s="3108">
        <v>0.76419999999999999</v>
      </c>
      <c r="M138" s="3109">
        <v>0.76419999999999999</v>
      </c>
    </row>
    <row r="139" spans="1:13">
      <c r="A139" s="3107">
        <v>5.4</v>
      </c>
      <c r="B139" s="3108">
        <v>0.95179999999999998</v>
      </c>
      <c r="C139" s="3108">
        <v>0.95179999999999998</v>
      </c>
      <c r="D139" s="3108">
        <v>0.88329999999999997</v>
      </c>
      <c r="E139" s="3108">
        <v>0.88329999999999997</v>
      </c>
      <c r="F139" s="3108">
        <v>0.88329999999999997</v>
      </c>
      <c r="G139" s="3108">
        <v>0.88329999999999997</v>
      </c>
      <c r="H139" s="3108">
        <v>0.88329999999999997</v>
      </c>
      <c r="I139" s="3108">
        <v>0.76139999999999997</v>
      </c>
      <c r="J139" s="3108">
        <v>0.76139999999999997</v>
      </c>
      <c r="K139" s="3108">
        <v>0.76139999999999997</v>
      </c>
      <c r="L139" s="3108">
        <v>0.76139999999999997</v>
      </c>
      <c r="M139" s="3109">
        <v>0.76139999999999997</v>
      </c>
    </row>
    <row r="140" spans="1:13">
      <c r="A140" s="3107">
        <v>5.5</v>
      </c>
      <c r="B140" s="3108">
        <v>0.94979999999999998</v>
      </c>
      <c r="C140" s="3108">
        <v>0.94979999999999998</v>
      </c>
      <c r="D140" s="3108">
        <v>0.88109999999999999</v>
      </c>
      <c r="E140" s="3108">
        <v>0.88109999999999999</v>
      </c>
      <c r="F140" s="3108">
        <v>0.88109999999999999</v>
      </c>
      <c r="G140" s="3108">
        <v>0.88109999999999999</v>
      </c>
      <c r="H140" s="3108">
        <v>0.88109999999999999</v>
      </c>
      <c r="I140" s="3108">
        <v>0.75860000000000005</v>
      </c>
      <c r="J140" s="3108">
        <v>0.75860000000000005</v>
      </c>
      <c r="K140" s="3108">
        <v>0.75860000000000005</v>
      </c>
      <c r="L140" s="3108">
        <v>0.75860000000000005</v>
      </c>
      <c r="M140" s="3109">
        <v>0.75860000000000005</v>
      </c>
    </row>
    <row r="141" spans="1:13">
      <c r="A141" s="3107">
        <v>5.6</v>
      </c>
      <c r="B141" s="3108">
        <v>0.94789999999999996</v>
      </c>
      <c r="C141" s="3108">
        <v>0.94789999999999996</v>
      </c>
      <c r="D141" s="3108">
        <v>0.87890000000000001</v>
      </c>
      <c r="E141" s="3108">
        <v>0.87890000000000001</v>
      </c>
      <c r="F141" s="3108">
        <v>0.87890000000000001</v>
      </c>
      <c r="G141" s="3108">
        <v>0.87890000000000001</v>
      </c>
      <c r="H141" s="3108">
        <v>0.87890000000000001</v>
      </c>
      <c r="I141" s="3108">
        <v>0.75590000000000002</v>
      </c>
      <c r="J141" s="3108">
        <v>0.75590000000000002</v>
      </c>
      <c r="K141" s="3108">
        <v>0.75590000000000002</v>
      </c>
      <c r="L141" s="3108">
        <v>0.75590000000000002</v>
      </c>
      <c r="M141" s="3109">
        <v>0.75590000000000002</v>
      </c>
    </row>
    <row r="142" spans="1:13">
      <c r="A142" s="3110">
        <v>5.7</v>
      </c>
      <c r="B142" s="3108">
        <v>0.94599999999999995</v>
      </c>
      <c r="C142" s="3108">
        <v>0.94599999999999995</v>
      </c>
      <c r="D142" s="3108">
        <v>0.87670000000000003</v>
      </c>
      <c r="E142" s="3108">
        <v>0.87670000000000003</v>
      </c>
      <c r="F142" s="3108">
        <v>0.87670000000000003</v>
      </c>
      <c r="G142" s="3108">
        <v>0.87670000000000003</v>
      </c>
      <c r="H142" s="3108">
        <v>0.87670000000000003</v>
      </c>
      <c r="I142" s="3108">
        <v>0.75319999999999998</v>
      </c>
      <c r="J142" s="3108">
        <v>0.75319999999999998</v>
      </c>
      <c r="K142" s="3108">
        <v>0.75319999999999998</v>
      </c>
      <c r="L142" s="3108">
        <v>0.75319999999999998</v>
      </c>
      <c r="M142" s="3109">
        <v>0.75319999999999998</v>
      </c>
    </row>
    <row r="143" spans="1:13">
      <c r="A143" s="3107">
        <v>5.8</v>
      </c>
      <c r="B143" s="3108">
        <v>0.94410000000000005</v>
      </c>
      <c r="C143" s="3108">
        <v>0.94410000000000005</v>
      </c>
      <c r="D143" s="3108">
        <v>0.87460000000000004</v>
      </c>
      <c r="E143" s="3108">
        <v>0.87460000000000004</v>
      </c>
      <c r="F143" s="3108">
        <v>0.87460000000000004</v>
      </c>
      <c r="G143" s="3108">
        <v>0.87460000000000004</v>
      </c>
      <c r="H143" s="3108">
        <v>0.87460000000000004</v>
      </c>
      <c r="I143" s="3108">
        <v>0.75049999999999994</v>
      </c>
      <c r="J143" s="3108">
        <v>0.75049999999999994</v>
      </c>
      <c r="K143" s="3108">
        <v>0.75049999999999994</v>
      </c>
      <c r="L143" s="3108">
        <v>0.75049999999999994</v>
      </c>
      <c r="M143" s="3109">
        <v>0.75049999999999994</v>
      </c>
    </row>
    <row r="144" spans="1:13">
      <c r="A144" s="3107">
        <v>5.9</v>
      </c>
      <c r="B144" s="3108">
        <v>0.94220000000000004</v>
      </c>
      <c r="C144" s="3108">
        <v>0.94220000000000004</v>
      </c>
      <c r="D144" s="3108">
        <v>0.87250000000000005</v>
      </c>
      <c r="E144" s="3108">
        <v>0.87250000000000005</v>
      </c>
      <c r="F144" s="3108">
        <v>0.87250000000000005</v>
      </c>
      <c r="G144" s="3108">
        <v>0.87250000000000005</v>
      </c>
      <c r="H144" s="3108">
        <v>0.87250000000000005</v>
      </c>
      <c r="I144" s="3108">
        <v>0.74780000000000002</v>
      </c>
      <c r="J144" s="3108">
        <v>0.74780000000000002</v>
      </c>
      <c r="K144" s="3108">
        <v>0.74780000000000002</v>
      </c>
      <c r="L144" s="3108">
        <v>0.74780000000000002</v>
      </c>
      <c r="M144" s="3109">
        <v>0.74780000000000002</v>
      </c>
    </row>
    <row r="145" spans="1:13">
      <c r="A145" s="3107">
        <v>6</v>
      </c>
      <c r="B145" s="3108">
        <v>0.94040000000000001</v>
      </c>
      <c r="C145" s="3108">
        <v>0.94040000000000001</v>
      </c>
      <c r="D145" s="3108">
        <v>0.87039999999999995</v>
      </c>
      <c r="E145" s="3108">
        <v>0.87039999999999995</v>
      </c>
      <c r="F145" s="3108">
        <v>0.87039999999999995</v>
      </c>
      <c r="G145" s="3108">
        <v>0.87039999999999995</v>
      </c>
      <c r="H145" s="3108">
        <v>0.87039999999999995</v>
      </c>
      <c r="I145" s="3108">
        <v>0.74519999999999997</v>
      </c>
      <c r="J145" s="3108">
        <v>0.74519999999999997</v>
      </c>
      <c r="K145" s="3108">
        <v>0.74519999999999997</v>
      </c>
      <c r="L145" s="3108">
        <v>0.74519999999999997</v>
      </c>
      <c r="M145" s="3109">
        <v>0.74519999999999997</v>
      </c>
    </row>
    <row r="146" spans="1:13">
      <c r="A146" s="3107">
        <v>6.1</v>
      </c>
      <c r="B146" s="3108">
        <v>0.93859999999999999</v>
      </c>
      <c r="C146" s="3108">
        <v>0.93859999999999999</v>
      </c>
      <c r="D146" s="3108">
        <v>0.86829999999999996</v>
      </c>
      <c r="E146" s="3108">
        <v>0.86829999999999996</v>
      </c>
      <c r="F146" s="3108">
        <v>0.86829999999999996</v>
      </c>
      <c r="G146" s="3108">
        <v>0.86829999999999996</v>
      </c>
      <c r="H146" s="3108">
        <v>0.86829999999999996</v>
      </c>
      <c r="I146" s="3108">
        <v>0.74260000000000004</v>
      </c>
      <c r="J146" s="3108">
        <v>0.74260000000000004</v>
      </c>
      <c r="K146" s="3108">
        <v>0.74260000000000004</v>
      </c>
      <c r="L146" s="3108">
        <v>0.74260000000000004</v>
      </c>
      <c r="M146" s="3109">
        <v>0.74260000000000004</v>
      </c>
    </row>
    <row r="147" spans="1:13">
      <c r="A147" s="3107">
        <v>6.2</v>
      </c>
      <c r="B147" s="3108">
        <v>0.93679999999999997</v>
      </c>
      <c r="C147" s="3108">
        <v>0.93679999999999997</v>
      </c>
      <c r="D147" s="3108">
        <v>0.86619999999999997</v>
      </c>
      <c r="E147" s="3108">
        <v>0.86619999999999997</v>
      </c>
      <c r="F147" s="3108">
        <v>0.86619999999999997</v>
      </c>
      <c r="G147" s="3108">
        <v>0.86619999999999997</v>
      </c>
      <c r="H147" s="3108">
        <v>0.86619999999999997</v>
      </c>
      <c r="I147" s="3108">
        <v>0.74</v>
      </c>
      <c r="J147" s="3108">
        <v>0.74</v>
      </c>
      <c r="K147" s="3108">
        <v>0.74</v>
      </c>
      <c r="L147" s="3108">
        <v>0.74</v>
      </c>
      <c r="M147" s="3109">
        <v>0.74</v>
      </c>
    </row>
    <row r="148" spans="1:13">
      <c r="A148" s="3107">
        <v>6.3</v>
      </c>
      <c r="B148" s="3108">
        <v>0.93500000000000005</v>
      </c>
      <c r="C148" s="3108">
        <v>0.93500000000000005</v>
      </c>
      <c r="D148" s="3108">
        <v>0.86409999999999998</v>
      </c>
      <c r="E148" s="3108">
        <v>0.86409999999999998</v>
      </c>
      <c r="F148" s="3108">
        <v>0.86409999999999998</v>
      </c>
      <c r="G148" s="3108">
        <v>0.86409999999999998</v>
      </c>
      <c r="H148" s="3108">
        <v>0.86409999999999998</v>
      </c>
      <c r="I148" s="3108">
        <v>0.73740000000000006</v>
      </c>
      <c r="J148" s="3108">
        <v>0.73740000000000006</v>
      </c>
      <c r="K148" s="3108">
        <v>0.73740000000000006</v>
      </c>
      <c r="L148" s="3108">
        <v>0.73740000000000006</v>
      </c>
      <c r="M148" s="3109">
        <v>0.73740000000000006</v>
      </c>
    </row>
    <row r="149" spans="1:13">
      <c r="A149" s="3107">
        <v>6.4</v>
      </c>
      <c r="B149" s="3108">
        <v>0.93320000000000003</v>
      </c>
      <c r="C149" s="3108">
        <v>0.93320000000000003</v>
      </c>
      <c r="D149" s="3108">
        <v>0.86209999999999998</v>
      </c>
      <c r="E149" s="3108">
        <v>0.86209999999999998</v>
      </c>
      <c r="F149" s="3108">
        <v>0.86209999999999998</v>
      </c>
      <c r="G149" s="3108">
        <v>0.86209999999999998</v>
      </c>
      <c r="H149" s="3108">
        <v>0.86209999999999998</v>
      </c>
      <c r="I149" s="3108">
        <v>0.73480000000000001</v>
      </c>
      <c r="J149" s="3108">
        <v>0.73480000000000001</v>
      </c>
      <c r="K149" s="3108">
        <v>0.73480000000000001</v>
      </c>
      <c r="L149" s="3108">
        <v>0.73480000000000001</v>
      </c>
      <c r="M149" s="3109">
        <v>0.73480000000000001</v>
      </c>
    </row>
    <row r="150" spans="1:13">
      <c r="A150" s="3107">
        <v>6.5</v>
      </c>
      <c r="B150" s="3108">
        <v>0.93149999999999999</v>
      </c>
      <c r="C150" s="3108">
        <v>0.93149999999999999</v>
      </c>
      <c r="D150" s="3108">
        <v>0.86009999999999998</v>
      </c>
      <c r="E150" s="3108">
        <v>0.86009999999999998</v>
      </c>
      <c r="F150" s="3108">
        <v>0.86009999999999998</v>
      </c>
      <c r="G150" s="3108">
        <v>0.86009999999999998</v>
      </c>
      <c r="H150" s="3108">
        <v>0.86009999999999998</v>
      </c>
      <c r="I150" s="3108">
        <v>0.73229999999999995</v>
      </c>
      <c r="J150" s="3108">
        <v>0.73229999999999995</v>
      </c>
      <c r="K150" s="3108">
        <v>0.73229999999999995</v>
      </c>
      <c r="L150" s="3108">
        <v>0.73229999999999995</v>
      </c>
      <c r="M150" s="3109">
        <v>0.73229999999999995</v>
      </c>
    </row>
    <row r="151" spans="1:13">
      <c r="A151" s="3107">
        <v>6.6</v>
      </c>
      <c r="B151" s="3108">
        <v>0.92979999999999996</v>
      </c>
      <c r="C151" s="3108">
        <v>0.92979999999999996</v>
      </c>
      <c r="D151" s="3108">
        <v>0.85809999999999997</v>
      </c>
      <c r="E151" s="3108">
        <v>0.85809999999999997</v>
      </c>
      <c r="F151" s="3108">
        <v>0.85809999999999997</v>
      </c>
      <c r="G151" s="3108">
        <v>0.85809999999999997</v>
      </c>
      <c r="H151" s="3108">
        <v>0.85809999999999997</v>
      </c>
      <c r="I151" s="3108">
        <v>0.7298</v>
      </c>
      <c r="J151" s="3108">
        <v>0.7298</v>
      </c>
      <c r="K151" s="3108">
        <v>0.7298</v>
      </c>
      <c r="L151" s="3108">
        <v>0.7298</v>
      </c>
      <c r="M151" s="3109">
        <v>0.7298</v>
      </c>
    </row>
    <row r="152" spans="1:13">
      <c r="A152" s="3107">
        <v>6.7</v>
      </c>
      <c r="B152" s="3108">
        <v>0.92810000000000004</v>
      </c>
      <c r="C152" s="3108">
        <v>0.92810000000000004</v>
      </c>
      <c r="D152" s="3108">
        <v>0.85609999999999997</v>
      </c>
      <c r="E152" s="3108">
        <v>0.85609999999999997</v>
      </c>
      <c r="F152" s="3108">
        <v>0.85609999999999997</v>
      </c>
      <c r="G152" s="3108">
        <v>0.85609999999999997</v>
      </c>
      <c r="H152" s="3108">
        <v>0.85609999999999997</v>
      </c>
      <c r="I152" s="3108">
        <v>0.72729999999999995</v>
      </c>
      <c r="J152" s="3108">
        <v>0.72729999999999995</v>
      </c>
      <c r="K152" s="3108">
        <v>0.72729999999999995</v>
      </c>
      <c r="L152" s="3108">
        <v>0.72729999999999995</v>
      </c>
      <c r="M152" s="3109">
        <v>0.72729999999999995</v>
      </c>
    </row>
    <row r="153" spans="1:13">
      <c r="A153" s="3107">
        <v>6.8</v>
      </c>
      <c r="B153" s="3108">
        <v>0.9264</v>
      </c>
      <c r="C153" s="3108">
        <v>0.9264</v>
      </c>
      <c r="D153" s="3108">
        <v>0.85409999999999997</v>
      </c>
      <c r="E153" s="3108">
        <v>0.85409999999999997</v>
      </c>
      <c r="F153" s="3108">
        <v>0.85409999999999997</v>
      </c>
      <c r="G153" s="3108">
        <v>0.85409999999999997</v>
      </c>
      <c r="H153" s="3108">
        <v>0.85409999999999997</v>
      </c>
      <c r="I153" s="3108">
        <v>0.7248</v>
      </c>
      <c r="J153" s="3108">
        <v>0.7248</v>
      </c>
      <c r="K153" s="3108">
        <v>0.7248</v>
      </c>
      <c r="L153" s="3108">
        <v>0.7248</v>
      </c>
      <c r="M153" s="3109">
        <v>0.7248</v>
      </c>
    </row>
    <row r="154" spans="1:13">
      <c r="A154" s="3107">
        <v>6.9</v>
      </c>
      <c r="B154" s="3108">
        <v>0.92469999999999997</v>
      </c>
      <c r="C154" s="3108">
        <v>0.92469999999999997</v>
      </c>
      <c r="D154" s="3108">
        <v>0.85209999999999997</v>
      </c>
      <c r="E154" s="3108">
        <v>0.85209999999999997</v>
      </c>
      <c r="F154" s="3108">
        <v>0.85209999999999997</v>
      </c>
      <c r="G154" s="3108">
        <v>0.85209999999999997</v>
      </c>
      <c r="H154" s="3108">
        <v>0.85209999999999997</v>
      </c>
      <c r="I154" s="3108">
        <v>0.72230000000000005</v>
      </c>
      <c r="J154" s="3108">
        <v>0.72230000000000005</v>
      </c>
      <c r="K154" s="3108">
        <v>0.72230000000000005</v>
      </c>
      <c r="L154" s="3108">
        <v>0.72230000000000005</v>
      </c>
      <c r="M154" s="3109">
        <v>0.72230000000000005</v>
      </c>
    </row>
    <row r="155" spans="1:13">
      <c r="A155" s="3107">
        <v>7</v>
      </c>
      <c r="B155" s="3108">
        <v>0.92300000000000004</v>
      </c>
      <c r="C155" s="3108">
        <v>0.92300000000000004</v>
      </c>
      <c r="D155" s="3108">
        <v>0.85019999999999996</v>
      </c>
      <c r="E155" s="3108">
        <v>0.85019999999999996</v>
      </c>
      <c r="F155" s="3108">
        <v>0.85019999999999996</v>
      </c>
      <c r="G155" s="3108">
        <v>0.85019999999999996</v>
      </c>
      <c r="H155" s="3108">
        <v>0.85019999999999996</v>
      </c>
      <c r="I155" s="3108">
        <v>0.71989999999999998</v>
      </c>
      <c r="J155" s="3108">
        <v>0.71989999999999998</v>
      </c>
      <c r="K155" s="3108">
        <v>0.71989999999999998</v>
      </c>
      <c r="L155" s="3108">
        <v>0.71989999999999998</v>
      </c>
      <c r="M155" s="3109">
        <v>0.71989999999999998</v>
      </c>
    </row>
    <row r="156" spans="1:13">
      <c r="A156" s="3107">
        <v>7.1</v>
      </c>
      <c r="B156" s="3108">
        <v>0.9214</v>
      </c>
      <c r="C156" s="3108">
        <v>0.9214</v>
      </c>
      <c r="D156" s="3108">
        <v>0.84830000000000005</v>
      </c>
      <c r="E156" s="3108">
        <v>0.84830000000000005</v>
      </c>
      <c r="F156" s="3108">
        <v>0.84830000000000005</v>
      </c>
      <c r="G156" s="3108">
        <v>0.84830000000000005</v>
      </c>
      <c r="H156" s="3108">
        <v>0.84830000000000005</v>
      </c>
      <c r="I156" s="3108">
        <v>0.71750000000000003</v>
      </c>
      <c r="J156" s="3108">
        <v>0.71750000000000003</v>
      </c>
      <c r="K156" s="3108">
        <v>0.71750000000000003</v>
      </c>
      <c r="L156" s="3108">
        <v>0.71750000000000003</v>
      </c>
      <c r="M156" s="3109">
        <v>0.71750000000000003</v>
      </c>
    </row>
    <row r="157" spans="1:13">
      <c r="A157" s="3107">
        <v>7.2</v>
      </c>
      <c r="B157" s="3108">
        <v>0.91979999999999995</v>
      </c>
      <c r="C157" s="3108">
        <v>0.91979999999999995</v>
      </c>
      <c r="D157" s="3108">
        <v>0.84640000000000004</v>
      </c>
      <c r="E157" s="3108">
        <v>0.84640000000000004</v>
      </c>
      <c r="F157" s="3108">
        <v>0.84640000000000004</v>
      </c>
      <c r="G157" s="3108">
        <v>0.84640000000000004</v>
      </c>
      <c r="H157" s="3108">
        <v>0.84640000000000004</v>
      </c>
      <c r="I157" s="3108">
        <v>0.71509999999999996</v>
      </c>
      <c r="J157" s="3108">
        <v>0.71509999999999996</v>
      </c>
      <c r="K157" s="3108">
        <v>0.71509999999999996</v>
      </c>
      <c r="L157" s="3108">
        <v>0.71509999999999996</v>
      </c>
      <c r="M157" s="3109">
        <v>0.71509999999999996</v>
      </c>
    </row>
    <row r="158" spans="1:13">
      <c r="A158" s="3107">
        <v>7.3</v>
      </c>
      <c r="B158" s="3108">
        <v>0.91820000000000002</v>
      </c>
      <c r="C158" s="3108">
        <v>0.91820000000000002</v>
      </c>
      <c r="D158" s="3108">
        <v>0.84450000000000003</v>
      </c>
      <c r="E158" s="3108">
        <v>0.84450000000000003</v>
      </c>
      <c r="F158" s="3108">
        <v>0.84450000000000003</v>
      </c>
      <c r="G158" s="3108">
        <v>0.84450000000000003</v>
      </c>
      <c r="H158" s="3108">
        <v>0.84450000000000003</v>
      </c>
      <c r="I158" s="3108">
        <v>0.7127</v>
      </c>
      <c r="J158" s="3108">
        <v>0.7127</v>
      </c>
      <c r="K158" s="3108">
        <v>0.7127</v>
      </c>
      <c r="L158" s="3108">
        <v>0.7127</v>
      </c>
      <c r="M158" s="3109">
        <v>0.7127</v>
      </c>
    </row>
    <row r="159" spans="1:13">
      <c r="A159" s="3107">
        <v>7.4</v>
      </c>
      <c r="B159" s="3108">
        <v>0.91659999999999997</v>
      </c>
      <c r="C159" s="3108">
        <v>0.91659999999999997</v>
      </c>
      <c r="D159" s="3108">
        <v>0.84260000000000002</v>
      </c>
      <c r="E159" s="3108">
        <v>0.84260000000000002</v>
      </c>
      <c r="F159" s="3108">
        <v>0.84260000000000002</v>
      </c>
      <c r="G159" s="3108">
        <v>0.84260000000000002</v>
      </c>
      <c r="H159" s="3108">
        <v>0.84260000000000002</v>
      </c>
      <c r="I159" s="3108">
        <v>0.71030000000000004</v>
      </c>
      <c r="J159" s="3108">
        <v>0.71030000000000004</v>
      </c>
      <c r="K159" s="3108">
        <v>0.71030000000000004</v>
      </c>
      <c r="L159" s="3108">
        <v>0.71030000000000004</v>
      </c>
      <c r="M159" s="3109">
        <v>0.71030000000000004</v>
      </c>
    </row>
    <row r="160" spans="1:13">
      <c r="A160" s="3107">
        <v>7.5</v>
      </c>
      <c r="B160" s="3108">
        <v>0.91500000000000004</v>
      </c>
      <c r="C160" s="3108">
        <v>0.91500000000000004</v>
      </c>
      <c r="D160" s="3108">
        <v>0.8407</v>
      </c>
      <c r="E160" s="3108">
        <v>0.8407</v>
      </c>
      <c r="F160" s="3108">
        <v>0.8407</v>
      </c>
      <c r="G160" s="3108">
        <v>0.8407</v>
      </c>
      <c r="H160" s="3108">
        <v>0.8407</v>
      </c>
      <c r="I160" s="3108">
        <v>0.70799999999999996</v>
      </c>
      <c r="J160" s="3108">
        <v>0.70799999999999996</v>
      </c>
      <c r="K160" s="3108">
        <v>0.70799999999999996</v>
      </c>
      <c r="L160" s="3108">
        <v>0.70799999999999996</v>
      </c>
      <c r="M160" s="3109">
        <v>0.70799999999999996</v>
      </c>
    </row>
    <row r="161" spans="1:13">
      <c r="A161" s="3107">
        <v>7.6</v>
      </c>
      <c r="B161" s="3108">
        <v>0.91339999999999999</v>
      </c>
      <c r="C161" s="3108">
        <v>0.91339999999999999</v>
      </c>
      <c r="D161" s="3108">
        <v>0.83889999999999998</v>
      </c>
      <c r="E161" s="3108">
        <v>0.83889999999999998</v>
      </c>
      <c r="F161" s="3108">
        <v>0.83889999999999998</v>
      </c>
      <c r="G161" s="3108">
        <v>0.83889999999999998</v>
      </c>
      <c r="H161" s="3108">
        <v>0.83889999999999998</v>
      </c>
      <c r="I161" s="3108">
        <v>0.70569999999999999</v>
      </c>
      <c r="J161" s="3108">
        <v>0.70569999999999999</v>
      </c>
      <c r="K161" s="3108">
        <v>0.70569999999999999</v>
      </c>
      <c r="L161" s="3108">
        <v>0.70569999999999999</v>
      </c>
      <c r="M161" s="3109">
        <v>0.70569999999999999</v>
      </c>
    </row>
    <row r="162" spans="1:13">
      <c r="A162" s="3107">
        <v>7.7</v>
      </c>
      <c r="B162" s="3108">
        <v>0.91190000000000004</v>
      </c>
      <c r="C162" s="3108">
        <v>0.91190000000000004</v>
      </c>
      <c r="D162" s="3108">
        <v>0.83709999999999996</v>
      </c>
      <c r="E162" s="3108">
        <v>0.83709999999999996</v>
      </c>
      <c r="F162" s="3108">
        <v>0.83709999999999996</v>
      </c>
      <c r="G162" s="3108">
        <v>0.83709999999999996</v>
      </c>
      <c r="H162" s="3108">
        <v>0.83709999999999996</v>
      </c>
      <c r="I162" s="3108">
        <v>0.70340000000000003</v>
      </c>
      <c r="J162" s="3108">
        <v>0.70340000000000003</v>
      </c>
      <c r="K162" s="3108">
        <v>0.70340000000000003</v>
      </c>
      <c r="L162" s="3108">
        <v>0.70340000000000003</v>
      </c>
      <c r="M162" s="3109">
        <v>0.70340000000000003</v>
      </c>
    </row>
    <row r="163" spans="1:13">
      <c r="A163" s="3107">
        <v>7.8</v>
      </c>
      <c r="B163" s="3108">
        <v>0.91039999999999999</v>
      </c>
      <c r="C163" s="3108">
        <v>0.91039999999999999</v>
      </c>
      <c r="D163" s="3108">
        <v>0.83530000000000004</v>
      </c>
      <c r="E163" s="3108">
        <v>0.83530000000000004</v>
      </c>
      <c r="F163" s="3108">
        <v>0.83530000000000004</v>
      </c>
      <c r="G163" s="3108">
        <v>0.83530000000000004</v>
      </c>
      <c r="H163" s="3108">
        <v>0.83530000000000004</v>
      </c>
      <c r="I163" s="3108">
        <v>0.70109999999999995</v>
      </c>
      <c r="J163" s="3108">
        <v>0.70109999999999995</v>
      </c>
      <c r="K163" s="3108">
        <v>0.70109999999999995</v>
      </c>
      <c r="L163" s="3108">
        <v>0.70109999999999995</v>
      </c>
      <c r="M163" s="3109">
        <v>0.70109999999999995</v>
      </c>
    </row>
    <row r="164" spans="1:13">
      <c r="A164" s="3107">
        <v>7.9</v>
      </c>
      <c r="B164" s="3108">
        <v>0.90890000000000004</v>
      </c>
      <c r="C164" s="3108">
        <v>0.90890000000000004</v>
      </c>
      <c r="D164" s="3108">
        <v>0.83350000000000002</v>
      </c>
      <c r="E164" s="3108">
        <v>0.83350000000000002</v>
      </c>
      <c r="F164" s="3108">
        <v>0.83350000000000002</v>
      </c>
      <c r="G164" s="3108">
        <v>0.83350000000000002</v>
      </c>
      <c r="H164" s="3108">
        <v>0.83350000000000002</v>
      </c>
      <c r="I164" s="3108">
        <v>0.69879999999999998</v>
      </c>
      <c r="J164" s="3108">
        <v>0.69879999999999998</v>
      </c>
      <c r="K164" s="3108">
        <v>0.69879999999999998</v>
      </c>
      <c r="L164" s="3108">
        <v>0.69879999999999998</v>
      </c>
      <c r="M164" s="3109">
        <v>0.69879999999999998</v>
      </c>
    </row>
    <row r="165" spans="1:13">
      <c r="A165" s="3107">
        <v>8</v>
      </c>
      <c r="B165" s="3108">
        <v>0.90739999999999998</v>
      </c>
      <c r="C165" s="3108">
        <v>0.90739999999999998</v>
      </c>
      <c r="D165" s="3108">
        <v>0.83169999999999999</v>
      </c>
      <c r="E165" s="3108">
        <v>0.83169999999999999</v>
      </c>
      <c r="F165" s="3108">
        <v>0.83169999999999999</v>
      </c>
      <c r="G165" s="3108">
        <v>0.83169999999999999</v>
      </c>
      <c r="H165" s="3108">
        <v>0.83169999999999999</v>
      </c>
      <c r="I165" s="3108">
        <v>0.6966</v>
      </c>
      <c r="J165" s="3108">
        <v>0.6966</v>
      </c>
      <c r="K165" s="3108">
        <v>0.6966</v>
      </c>
      <c r="L165" s="3108">
        <v>0.6966</v>
      </c>
      <c r="M165" s="3109">
        <v>0.6966</v>
      </c>
    </row>
    <row r="166" spans="1:13">
      <c r="A166" s="3107">
        <v>8.1</v>
      </c>
      <c r="B166" s="3108">
        <v>0.90590000000000004</v>
      </c>
      <c r="C166" s="3108">
        <v>0.90590000000000004</v>
      </c>
      <c r="D166" s="3108">
        <v>0.82989999999999997</v>
      </c>
      <c r="E166" s="3108">
        <v>0.82989999999999997</v>
      </c>
      <c r="F166" s="3108">
        <v>0.82989999999999997</v>
      </c>
      <c r="G166" s="3108">
        <v>0.82989999999999997</v>
      </c>
      <c r="H166" s="3108">
        <v>0.82989999999999997</v>
      </c>
      <c r="I166" s="3108">
        <v>0.69440000000000002</v>
      </c>
      <c r="J166" s="3108">
        <v>0.69440000000000002</v>
      </c>
      <c r="K166" s="3108">
        <v>0.69440000000000002</v>
      </c>
      <c r="L166" s="3108">
        <v>0.69440000000000002</v>
      </c>
      <c r="M166" s="3109">
        <v>0.69440000000000002</v>
      </c>
    </row>
    <row r="167" spans="1:13">
      <c r="A167" s="3107">
        <v>8.1999999999999993</v>
      </c>
      <c r="B167" s="3108">
        <v>0.90439999999999998</v>
      </c>
      <c r="C167" s="3108">
        <v>0.90439999999999998</v>
      </c>
      <c r="D167" s="3108">
        <v>0.82820000000000005</v>
      </c>
      <c r="E167" s="3108">
        <v>0.82820000000000005</v>
      </c>
      <c r="F167" s="3108">
        <v>0.82820000000000005</v>
      </c>
      <c r="G167" s="3108">
        <v>0.82820000000000005</v>
      </c>
      <c r="H167" s="3108">
        <v>0.82820000000000005</v>
      </c>
      <c r="I167" s="3108">
        <v>0.69220000000000004</v>
      </c>
      <c r="J167" s="3108">
        <v>0.69220000000000004</v>
      </c>
      <c r="K167" s="3108">
        <v>0.69220000000000004</v>
      </c>
      <c r="L167" s="3108">
        <v>0.69220000000000004</v>
      </c>
      <c r="M167" s="3109">
        <v>0.69220000000000004</v>
      </c>
    </row>
    <row r="168" spans="1:13">
      <c r="A168" s="3107">
        <v>8.3000000000000007</v>
      </c>
      <c r="B168" s="3108">
        <v>0.90300000000000002</v>
      </c>
      <c r="C168" s="3108">
        <v>0.90300000000000002</v>
      </c>
      <c r="D168" s="3108">
        <v>0.82650000000000001</v>
      </c>
      <c r="E168" s="3108">
        <v>0.82650000000000001</v>
      </c>
      <c r="F168" s="3108">
        <v>0.82650000000000001</v>
      </c>
      <c r="G168" s="3108">
        <v>0.82650000000000001</v>
      </c>
      <c r="H168" s="3108">
        <v>0.82650000000000001</v>
      </c>
      <c r="I168" s="3108">
        <v>0.69</v>
      </c>
      <c r="J168" s="3108">
        <v>0.69</v>
      </c>
      <c r="K168" s="3108">
        <v>0.69</v>
      </c>
      <c r="L168" s="3108">
        <v>0.69</v>
      </c>
      <c r="M168" s="3109">
        <v>0.69</v>
      </c>
    </row>
    <row r="169" spans="1:13">
      <c r="A169" s="3107">
        <v>8.4</v>
      </c>
      <c r="B169" s="3108">
        <v>0.90159999999999996</v>
      </c>
      <c r="C169" s="3108">
        <v>0.90159999999999996</v>
      </c>
      <c r="D169" s="3108">
        <v>0.82479999999999998</v>
      </c>
      <c r="E169" s="3108">
        <v>0.82479999999999998</v>
      </c>
      <c r="F169" s="3108">
        <v>0.82479999999999998</v>
      </c>
      <c r="G169" s="3108">
        <v>0.82479999999999998</v>
      </c>
      <c r="H169" s="3108">
        <v>0.82479999999999998</v>
      </c>
      <c r="I169" s="3108">
        <v>0.68779999999999997</v>
      </c>
      <c r="J169" s="3108">
        <v>0.68779999999999997</v>
      </c>
      <c r="K169" s="3108">
        <v>0.68779999999999997</v>
      </c>
      <c r="L169" s="3108">
        <v>0.68779999999999997</v>
      </c>
      <c r="M169" s="3109">
        <v>0.68779999999999997</v>
      </c>
    </row>
    <row r="170" spans="1:13">
      <c r="A170" s="3107">
        <v>8.5</v>
      </c>
      <c r="B170" s="3108">
        <v>0.9002</v>
      </c>
      <c r="C170" s="3108">
        <v>0.9002</v>
      </c>
      <c r="D170" s="3108">
        <v>0.82310000000000005</v>
      </c>
      <c r="E170" s="3108">
        <v>0.82310000000000005</v>
      </c>
      <c r="F170" s="3108">
        <v>0.82310000000000005</v>
      </c>
      <c r="G170" s="3108">
        <v>0.82310000000000005</v>
      </c>
      <c r="H170" s="3108">
        <v>0.82310000000000005</v>
      </c>
      <c r="I170" s="3108">
        <v>0.68569999999999998</v>
      </c>
      <c r="J170" s="3108">
        <v>0.68569999999999998</v>
      </c>
      <c r="K170" s="3108">
        <v>0.68569999999999998</v>
      </c>
      <c r="L170" s="3108">
        <v>0.68569999999999998</v>
      </c>
      <c r="M170" s="3109">
        <v>0.68569999999999998</v>
      </c>
    </row>
    <row r="171" spans="1:13">
      <c r="A171" s="3107">
        <v>8.6</v>
      </c>
      <c r="B171" s="3108">
        <v>0.89880000000000004</v>
      </c>
      <c r="C171" s="3108">
        <v>0.89880000000000004</v>
      </c>
      <c r="D171" s="3108">
        <v>0.82140000000000002</v>
      </c>
      <c r="E171" s="3108">
        <v>0.82140000000000002</v>
      </c>
      <c r="F171" s="3108">
        <v>0.82140000000000002</v>
      </c>
      <c r="G171" s="3108">
        <v>0.82140000000000002</v>
      </c>
      <c r="H171" s="3108">
        <v>0.82140000000000002</v>
      </c>
      <c r="I171" s="3108">
        <v>0.68359999999999999</v>
      </c>
      <c r="J171" s="3108">
        <v>0.68359999999999999</v>
      </c>
      <c r="K171" s="3108">
        <v>0.68359999999999999</v>
      </c>
      <c r="L171" s="3108">
        <v>0.68359999999999999</v>
      </c>
      <c r="M171" s="3109">
        <v>0.68359999999999999</v>
      </c>
    </row>
    <row r="172" spans="1:13">
      <c r="A172" s="3107">
        <v>8.6999999999999993</v>
      </c>
      <c r="B172" s="3108">
        <v>0.89739999999999998</v>
      </c>
      <c r="C172" s="3108">
        <v>0.89739999999999998</v>
      </c>
      <c r="D172" s="3108">
        <v>0.81969999999999998</v>
      </c>
      <c r="E172" s="3108">
        <v>0.81969999999999998</v>
      </c>
      <c r="F172" s="3108">
        <v>0.81969999999999998</v>
      </c>
      <c r="G172" s="3108">
        <v>0.81969999999999998</v>
      </c>
      <c r="H172" s="3108">
        <v>0.81969999999999998</v>
      </c>
      <c r="I172" s="3108">
        <v>0.68149999999999999</v>
      </c>
      <c r="J172" s="3108">
        <v>0.68149999999999999</v>
      </c>
      <c r="K172" s="3108">
        <v>0.68149999999999999</v>
      </c>
      <c r="L172" s="3108">
        <v>0.68149999999999999</v>
      </c>
      <c r="M172" s="3109">
        <v>0.68149999999999999</v>
      </c>
    </row>
    <row r="173" spans="1:13">
      <c r="A173" s="3107">
        <v>8.8000000000000007</v>
      </c>
      <c r="B173" s="3108">
        <v>0.89600000000000002</v>
      </c>
      <c r="C173" s="3108">
        <v>0.89600000000000002</v>
      </c>
      <c r="D173" s="3108">
        <v>0.81810000000000005</v>
      </c>
      <c r="E173" s="3108">
        <v>0.81810000000000005</v>
      </c>
      <c r="F173" s="3108">
        <v>0.81810000000000005</v>
      </c>
      <c r="G173" s="3108">
        <v>0.81810000000000005</v>
      </c>
      <c r="H173" s="3108">
        <v>0.81810000000000005</v>
      </c>
      <c r="I173" s="3108">
        <v>0.6794</v>
      </c>
      <c r="J173" s="3108">
        <v>0.6794</v>
      </c>
      <c r="K173" s="3108">
        <v>0.6794</v>
      </c>
      <c r="L173" s="3108">
        <v>0.6794</v>
      </c>
      <c r="M173" s="3109">
        <v>0.6794</v>
      </c>
    </row>
    <row r="174" spans="1:13">
      <c r="A174" s="3107">
        <v>8.9</v>
      </c>
      <c r="B174" s="3108">
        <v>0.89470000000000005</v>
      </c>
      <c r="C174" s="3108">
        <v>0.89470000000000005</v>
      </c>
      <c r="D174" s="3108">
        <v>0.8165</v>
      </c>
      <c r="E174" s="3108">
        <v>0.8165</v>
      </c>
      <c r="F174" s="3108">
        <v>0.8165</v>
      </c>
      <c r="G174" s="3108">
        <v>0.8165</v>
      </c>
      <c r="H174" s="3108">
        <v>0.8165</v>
      </c>
      <c r="I174" s="3108">
        <v>0.6774</v>
      </c>
      <c r="J174" s="3108">
        <v>0.6774</v>
      </c>
      <c r="K174" s="3108">
        <v>0.6774</v>
      </c>
      <c r="L174" s="3108">
        <v>0.6774</v>
      </c>
      <c r="M174" s="3109">
        <v>0.6774</v>
      </c>
    </row>
    <row r="175" spans="1:13">
      <c r="A175" s="3110">
        <v>9</v>
      </c>
      <c r="B175" s="3108">
        <v>0.89339999999999997</v>
      </c>
      <c r="C175" s="3108">
        <v>0.89339999999999997</v>
      </c>
      <c r="D175" s="3108">
        <v>0.81489999999999996</v>
      </c>
      <c r="E175" s="3108">
        <v>0.81489999999999996</v>
      </c>
      <c r="F175" s="3108">
        <v>0.81489999999999996</v>
      </c>
      <c r="G175" s="3108">
        <v>0.81489999999999996</v>
      </c>
      <c r="H175" s="3108">
        <v>0.81489999999999996</v>
      </c>
      <c r="I175" s="3108">
        <v>0.6754</v>
      </c>
      <c r="J175" s="3108">
        <v>0.6754</v>
      </c>
      <c r="K175" s="3108">
        <v>0.6754</v>
      </c>
      <c r="L175" s="3108">
        <v>0.6754</v>
      </c>
      <c r="M175" s="3109">
        <v>0.6754</v>
      </c>
    </row>
    <row r="176" spans="1:13">
      <c r="A176" s="3110">
        <v>9.1</v>
      </c>
      <c r="B176" s="3108">
        <v>0.8921</v>
      </c>
      <c r="C176" s="3108">
        <v>0.8921</v>
      </c>
      <c r="D176" s="3108">
        <v>0.81330000000000002</v>
      </c>
      <c r="E176" s="3108">
        <v>0.81330000000000002</v>
      </c>
      <c r="F176" s="3108">
        <v>0.81330000000000002</v>
      </c>
      <c r="G176" s="3108">
        <v>0.81330000000000002</v>
      </c>
      <c r="H176" s="3108">
        <v>0.81330000000000002</v>
      </c>
      <c r="I176" s="3108">
        <v>0.6734</v>
      </c>
      <c r="J176" s="3108">
        <v>0.6734</v>
      </c>
      <c r="K176" s="3108">
        <v>0.6734</v>
      </c>
      <c r="L176" s="3108">
        <v>0.6734</v>
      </c>
      <c r="M176" s="3109">
        <v>0.6734</v>
      </c>
    </row>
    <row r="177" spans="1:20">
      <c r="A177" s="3110">
        <v>9.1999999999999993</v>
      </c>
      <c r="B177" s="3108">
        <v>0.89080000000000004</v>
      </c>
      <c r="C177" s="3108">
        <v>0.89080000000000004</v>
      </c>
      <c r="D177" s="3108">
        <v>0.81169999999999998</v>
      </c>
      <c r="E177" s="3108">
        <v>0.81169999999999998</v>
      </c>
      <c r="F177" s="3108">
        <v>0.81169999999999998</v>
      </c>
      <c r="G177" s="3108">
        <v>0.81169999999999998</v>
      </c>
      <c r="H177" s="3108">
        <v>0.81169999999999998</v>
      </c>
      <c r="I177" s="3108">
        <v>0.6714</v>
      </c>
      <c r="J177" s="3108">
        <v>0.6714</v>
      </c>
      <c r="K177" s="3108">
        <v>0.6714</v>
      </c>
      <c r="L177" s="3108">
        <v>0.6714</v>
      </c>
      <c r="M177" s="3109">
        <v>0.6714</v>
      </c>
    </row>
    <row r="178" spans="1:20">
      <c r="A178" s="3110">
        <v>9.3000000000000007</v>
      </c>
      <c r="B178" s="3108">
        <v>0.88949999999999996</v>
      </c>
      <c r="C178" s="3108">
        <v>0.88949999999999996</v>
      </c>
      <c r="D178" s="3108">
        <v>0.81010000000000004</v>
      </c>
      <c r="E178" s="3108">
        <v>0.81010000000000004</v>
      </c>
      <c r="F178" s="3108">
        <v>0.81010000000000004</v>
      </c>
      <c r="G178" s="3108">
        <v>0.81010000000000004</v>
      </c>
      <c r="H178" s="3108">
        <v>0.81010000000000004</v>
      </c>
      <c r="I178" s="3108">
        <v>0.6694</v>
      </c>
      <c r="J178" s="3108">
        <v>0.6694</v>
      </c>
      <c r="K178" s="3108">
        <v>0.6694</v>
      </c>
      <c r="L178" s="3108">
        <v>0.6694</v>
      </c>
      <c r="M178" s="3109">
        <v>0.6694</v>
      </c>
    </row>
    <row r="179" spans="1:20">
      <c r="A179" s="3110">
        <v>9.4</v>
      </c>
      <c r="B179" s="3108">
        <v>0.88819999999999999</v>
      </c>
      <c r="C179" s="3108">
        <v>0.88819999999999999</v>
      </c>
      <c r="D179" s="3108">
        <v>0.8085</v>
      </c>
      <c r="E179" s="3108">
        <v>0.8085</v>
      </c>
      <c r="F179" s="3108">
        <v>0.8085</v>
      </c>
      <c r="G179" s="3108">
        <v>0.8085</v>
      </c>
      <c r="H179" s="3108">
        <v>0.8085</v>
      </c>
      <c r="I179" s="3108">
        <v>0.66739999999999999</v>
      </c>
      <c r="J179" s="3108">
        <v>0.66739999999999999</v>
      </c>
      <c r="K179" s="3108">
        <v>0.66739999999999999</v>
      </c>
      <c r="L179" s="3108">
        <v>0.66739999999999999</v>
      </c>
      <c r="M179" s="3109">
        <v>0.66739999999999999</v>
      </c>
    </row>
    <row r="180" spans="1:20">
      <c r="A180" s="3110">
        <v>9.5</v>
      </c>
      <c r="B180" s="3108">
        <v>0.88700000000000001</v>
      </c>
      <c r="C180" s="3108">
        <v>0.88700000000000001</v>
      </c>
      <c r="D180" s="3108">
        <v>0.80700000000000005</v>
      </c>
      <c r="E180" s="3108">
        <v>0.80700000000000005</v>
      </c>
      <c r="F180" s="3108">
        <v>0.80700000000000005</v>
      </c>
      <c r="G180" s="3108">
        <v>0.80700000000000005</v>
      </c>
      <c r="H180" s="3108">
        <v>0.80700000000000005</v>
      </c>
      <c r="I180" s="3108">
        <v>0.66549999999999998</v>
      </c>
      <c r="J180" s="3108">
        <v>0.66549999999999998</v>
      </c>
      <c r="K180" s="3108">
        <v>0.66549999999999998</v>
      </c>
      <c r="L180" s="3108">
        <v>0.66549999999999998</v>
      </c>
      <c r="M180" s="3109">
        <v>0.66549999999999998</v>
      </c>
    </row>
    <row r="181" spans="1:20">
      <c r="A181" s="3110">
        <v>9.6</v>
      </c>
      <c r="B181" s="3108">
        <v>0.88580000000000003</v>
      </c>
      <c r="C181" s="3108">
        <v>0.88580000000000003</v>
      </c>
      <c r="D181" s="3108">
        <v>0.80549999999999999</v>
      </c>
      <c r="E181" s="3108">
        <v>0.80549999999999999</v>
      </c>
      <c r="F181" s="3108">
        <v>0.80549999999999999</v>
      </c>
      <c r="G181" s="3108">
        <v>0.80549999999999999</v>
      </c>
      <c r="H181" s="3108">
        <v>0.80549999999999999</v>
      </c>
      <c r="I181" s="3108">
        <v>0.66359999999999997</v>
      </c>
      <c r="J181" s="3108">
        <v>0.66359999999999997</v>
      </c>
      <c r="K181" s="3108">
        <v>0.66359999999999997</v>
      </c>
      <c r="L181" s="3108">
        <v>0.66359999999999997</v>
      </c>
      <c r="M181" s="3109">
        <v>0.66359999999999997</v>
      </c>
    </row>
    <row r="182" spans="1:20">
      <c r="A182" s="3110">
        <v>9.6999999999999993</v>
      </c>
      <c r="B182" s="3108">
        <v>0.88460000000000005</v>
      </c>
      <c r="C182" s="3108">
        <v>0.88460000000000005</v>
      </c>
      <c r="D182" s="3108">
        <v>0.80400000000000005</v>
      </c>
      <c r="E182" s="3108">
        <v>0.80400000000000005</v>
      </c>
      <c r="F182" s="3108">
        <v>0.80400000000000005</v>
      </c>
      <c r="G182" s="3108">
        <v>0.80400000000000005</v>
      </c>
      <c r="H182" s="3108">
        <v>0.80400000000000005</v>
      </c>
      <c r="I182" s="3108">
        <v>0.66169999999999995</v>
      </c>
      <c r="J182" s="3108">
        <v>0.66169999999999995</v>
      </c>
      <c r="K182" s="3108">
        <v>0.66169999999999995</v>
      </c>
      <c r="L182" s="3108">
        <v>0.66169999999999995</v>
      </c>
      <c r="M182" s="3109">
        <v>0.66169999999999995</v>
      </c>
    </row>
    <row r="183" spans="1:20">
      <c r="A183" s="3110">
        <v>9.8000000000000007</v>
      </c>
      <c r="B183" s="3108">
        <v>0.88339999999999996</v>
      </c>
      <c r="C183" s="3108">
        <v>0.88339999999999996</v>
      </c>
      <c r="D183" s="3108">
        <v>0.80249999999999999</v>
      </c>
      <c r="E183" s="3108">
        <v>0.80249999999999999</v>
      </c>
      <c r="F183" s="3108">
        <v>0.80249999999999999</v>
      </c>
      <c r="G183" s="3108">
        <v>0.80249999999999999</v>
      </c>
      <c r="H183" s="3108">
        <v>0.80249999999999999</v>
      </c>
      <c r="I183" s="3108">
        <v>0.65980000000000005</v>
      </c>
      <c r="J183" s="3108">
        <v>0.65980000000000005</v>
      </c>
      <c r="K183" s="3108">
        <v>0.65980000000000005</v>
      </c>
      <c r="L183" s="3108">
        <v>0.65980000000000005</v>
      </c>
      <c r="M183" s="3109">
        <v>0.65980000000000005</v>
      </c>
    </row>
    <row r="184" spans="1:20" ht="14.25" thickBot="1">
      <c r="A184" s="3111">
        <v>9.9</v>
      </c>
      <c r="B184" s="3112">
        <v>0.88219999999999998</v>
      </c>
      <c r="C184" s="3112">
        <v>0.88219999999999998</v>
      </c>
      <c r="D184" s="3112">
        <v>0.80100000000000005</v>
      </c>
      <c r="E184" s="3112">
        <v>0.80100000000000005</v>
      </c>
      <c r="F184" s="3112">
        <v>0.80100000000000005</v>
      </c>
      <c r="G184" s="3112">
        <v>0.80100000000000005</v>
      </c>
      <c r="H184" s="3112">
        <v>0.80100000000000005</v>
      </c>
      <c r="I184" s="3112">
        <v>0.65790000000000004</v>
      </c>
      <c r="J184" s="3112">
        <v>0.65790000000000004</v>
      </c>
      <c r="K184" s="3112">
        <v>0.65790000000000004</v>
      </c>
      <c r="L184" s="3112">
        <v>0.65790000000000004</v>
      </c>
      <c r="M184" s="3113">
        <v>0.65790000000000004</v>
      </c>
    </row>
    <row r="185" spans="1:20" ht="15" thickBot="1">
      <c r="A185" s="3101" t="s">
        <v>2777</v>
      </c>
      <c r="B185" s="3101"/>
      <c r="C185" s="3101"/>
      <c r="D185" s="3101"/>
      <c r="E185" s="3101"/>
      <c r="F185" s="3101"/>
      <c r="G185" s="3101"/>
      <c r="H185" s="3101"/>
      <c r="I185" s="3101"/>
      <c r="J185" s="3101"/>
      <c r="K185" s="3101"/>
      <c r="L185" s="3101"/>
      <c r="M185" s="3101"/>
    </row>
    <row r="186" spans="1:20">
      <c r="A186" s="3102" t="s">
        <v>2775</v>
      </c>
      <c r="B186" s="3103" t="s">
        <v>2571</v>
      </c>
      <c r="C186" s="3103" t="s">
        <v>2572</v>
      </c>
      <c r="D186" s="3103" t="s">
        <v>2573</v>
      </c>
      <c r="E186" s="3103" t="s">
        <v>2574</v>
      </c>
      <c r="F186" s="3103" t="s">
        <v>2575</v>
      </c>
      <c r="G186" s="3103" t="s">
        <v>2576</v>
      </c>
      <c r="H186" s="3104" t="s">
        <v>2577</v>
      </c>
      <c r="I186" s="3104" t="s">
        <v>2578</v>
      </c>
      <c r="J186" s="3105" t="s">
        <v>2579</v>
      </c>
      <c r="K186" s="3105" t="s">
        <v>2580</v>
      </c>
      <c r="L186" s="3105" t="s">
        <v>2581</v>
      </c>
      <c r="M186" s="3106" t="s">
        <v>2582</v>
      </c>
      <c r="Q186" s="3116" t="s">
        <v>2780</v>
      </c>
      <c r="R186" s="3116" t="s">
        <v>2781</v>
      </c>
      <c r="S186" s="3116" t="s">
        <v>2782</v>
      </c>
      <c r="T186" s="3116" t="s">
        <v>2783</v>
      </c>
    </row>
    <row r="187" spans="1:20">
      <c r="A187" s="3107">
        <v>1</v>
      </c>
      <c r="B187" s="3108">
        <v>1.1901999999999999</v>
      </c>
      <c r="C187" s="3108">
        <v>1.1901999999999999</v>
      </c>
      <c r="D187" s="3108">
        <v>1.222</v>
      </c>
      <c r="E187" s="3108">
        <v>1.222</v>
      </c>
      <c r="F187" s="3108">
        <v>1.222</v>
      </c>
      <c r="G187" s="3108">
        <v>1.222</v>
      </c>
      <c r="H187" s="3108">
        <v>1.222</v>
      </c>
      <c r="I187" s="3108">
        <v>1.1054999999999999</v>
      </c>
      <c r="J187" s="3108">
        <v>1.1054999999999999</v>
      </c>
      <c r="K187" s="3108">
        <v>1.1054999999999999</v>
      </c>
      <c r="L187" s="3108">
        <v>1.1054999999999999</v>
      </c>
      <c r="M187" s="3109">
        <v>1.1054999999999999</v>
      </c>
      <c r="Q187" s="3116">
        <v>10</v>
      </c>
      <c r="R187" s="3116">
        <f>ROUND(0.9448-0.0115*Q187,4)</f>
        <v>0.82979999999999998</v>
      </c>
      <c r="S187" s="3116">
        <f>ROUND(0.937-0.0145*Q187,4)</f>
        <v>0.79200000000000004</v>
      </c>
      <c r="T187" s="3116">
        <f>ROUND(0.7965-0.0185*Q187,4)</f>
        <v>0.61150000000000004</v>
      </c>
    </row>
    <row r="188" spans="1:20">
      <c r="A188" s="3107">
        <v>1.1000000000000001</v>
      </c>
      <c r="B188" s="3108">
        <v>1.1715</v>
      </c>
      <c r="C188" s="3108">
        <v>1.1715</v>
      </c>
      <c r="D188" s="3108">
        <v>1.2002999999999999</v>
      </c>
      <c r="E188" s="3108">
        <v>1.2002999999999999</v>
      </c>
      <c r="F188" s="3108">
        <v>1.2002999999999999</v>
      </c>
      <c r="G188" s="3108">
        <v>1.2002999999999999</v>
      </c>
      <c r="H188" s="3108">
        <v>1.2002999999999999</v>
      </c>
      <c r="I188" s="3108">
        <v>1.0819000000000001</v>
      </c>
      <c r="J188" s="3108">
        <v>1.0819000000000001</v>
      </c>
      <c r="K188" s="3108">
        <v>1.0819000000000001</v>
      </c>
      <c r="L188" s="3108">
        <v>1.0819000000000001</v>
      </c>
      <c r="M188" s="3109">
        <v>1.0819000000000001</v>
      </c>
    </row>
    <row r="189" spans="1:20">
      <c r="A189" s="3107">
        <v>1.2</v>
      </c>
      <c r="B189" s="3108">
        <v>1.1538999999999999</v>
      </c>
      <c r="C189" s="3108">
        <v>1.1538999999999999</v>
      </c>
      <c r="D189" s="3108">
        <v>1.1798</v>
      </c>
      <c r="E189" s="3108">
        <v>1.1798</v>
      </c>
      <c r="F189" s="3108">
        <v>1.1798</v>
      </c>
      <c r="G189" s="3108">
        <v>1.1798</v>
      </c>
      <c r="H189" s="3108">
        <v>1.1798</v>
      </c>
      <c r="I189" s="3108">
        <v>1.0597000000000001</v>
      </c>
      <c r="J189" s="3108">
        <v>1.0597000000000001</v>
      </c>
      <c r="K189" s="3108">
        <v>1.0597000000000001</v>
      </c>
      <c r="L189" s="3108">
        <v>1.0597000000000001</v>
      </c>
      <c r="M189" s="3109">
        <v>1.0597000000000001</v>
      </c>
    </row>
    <row r="190" spans="1:20">
      <c r="A190" s="3107">
        <v>1.3</v>
      </c>
      <c r="B190" s="3108">
        <v>1.1372</v>
      </c>
      <c r="C190" s="3108">
        <v>1.1372</v>
      </c>
      <c r="D190" s="3108">
        <v>1.1605000000000001</v>
      </c>
      <c r="E190" s="3108">
        <v>1.1605000000000001</v>
      </c>
      <c r="F190" s="3108">
        <v>1.1605000000000001</v>
      </c>
      <c r="G190" s="3108">
        <v>1.1605000000000001</v>
      </c>
      <c r="H190" s="3108">
        <v>1.1605000000000001</v>
      </c>
      <c r="I190" s="3108">
        <v>1.0386</v>
      </c>
      <c r="J190" s="3108">
        <v>1.0386</v>
      </c>
      <c r="K190" s="3108">
        <v>1.0386</v>
      </c>
      <c r="L190" s="3108">
        <v>1.0386</v>
      </c>
      <c r="M190" s="3109">
        <v>1.0386</v>
      </c>
    </row>
    <row r="191" spans="1:20">
      <c r="A191" s="3107">
        <v>1.4</v>
      </c>
      <c r="B191" s="3108">
        <v>1.1215999999999999</v>
      </c>
      <c r="C191" s="3108">
        <v>1.1215999999999999</v>
      </c>
      <c r="D191" s="3108">
        <v>1.1422000000000001</v>
      </c>
      <c r="E191" s="3108">
        <v>1.1422000000000001</v>
      </c>
      <c r="F191" s="3108">
        <v>1.1422000000000001</v>
      </c>
      <c r="G191" s="3108">
        <v>1.1422000000000001</v>
      </c>
      <c r="H191" s="3108">
        <v>1.1422000000000001</v>
      </c>
      <c r="I191" s="3108">
        <v>1.0187999999999999</v>
      </c>
      <c r="J191" s="3108">
        <v>1.0187999999999999</v>
      </c>
      <c r="K191" s="3108">
        <v>1.0187999999999999</v>
      </c>
      <c r="L191" s="3108">
        <v>1.0187999999999999</v>
      </c>
      <c r="M191" s="3109">
        <v>1.0187999999999999</v>
      </c>
    </row>
    <row r="192" spans="1:20">
      <c r="A192" s="3107">
        <v>1.5</v>
      </c>
      <c r="B192" s="3108">
        <v>1.1069</v>
      </c>
      <c r="C192" s="3108">
        <v>1.1069</v>
      </c>
      <c r="D192" s="3108">
        <v>1.125</v>
      </c>
      <c r="E192" s="3108">
        <v>1.125</v>
      </c>
      <c r="F192" s="3108">
        <v>1.125</v>
      </c>
      <c r="G192" s="3108">
        <v>1.125</v>
      </c>
      <c r="H192" s="3108">
        <v>1.125</v>
      </c>
      <c r="I192" s="3108">
        <v>1</v>
      </c>
      <c r="J192" s="3108">
        <v>1</v>
      </c>
      <c r="K192" s="3108">
        <v>1</v>
      </c>
      <c r="L192" s="3108">
        <v>1</v>
      </c>
      <c r="M192" s="3109">
        <v>1</v>
      </c>
    </row>
    <row r="193" spans="1:13">
      <c r="A193" s="3107">
        <v>1.6</v>
      </c>
      <c r="B193" s="3108">
        <v>1.0929</v>
      </c>
      <c r="C193" s="3108">
        <v>1.0929</v>
      </c>
      <c r="D193" s="3108">
        <v>1.1087</v>
      </c>
      <c r="E193" s="3108">
        <v>1.1087</v>
      </c>
      <c r="F193" s="3108">
        <v>1.1087</v>
      </c>
      <c r="G193" s="3108">
        <v>1.1087</v>
      </c>
      <c r="H193" s="3108">
        <v>1.1087</v>
      </c>
      <c r="I193" s="3108">
        <v>0.98229999999999995</v>
      </c>
      <c r="J193" s="3108">
        <v>0.98229999999999995</v>
      </c>
      <c r="K193" s="3108">
        <v>0.98229999999999995</v>
      </c>
      <c r="L193" s="3108">
        <v>0.98229999999999995</v>
      </c>
      <c r="M193" s="3109">
        <v>0.98229999999999995</v>
      </c>
    </row>
    <row r="194" spans="1:13">
      <c r="A194" s="3107">
        <v>1.7</v>
      </c>
      <c r="B194" s="3108">
        <v>1.0798000000000001</v>
      </c>
      <c r="C194" s="3108">
        <v>1.0798000000000001</v>
      </c>
      <c r="D194" s="3108">
        <v>1.0933999999999999</v>
      </c>
      <c r="E194" s="3108">
        <v>1.0933999999999999</v>
      </c>
      <c r="F194" s="3108">
        <v>1.0933999999999999</v>
      </c>
      <c r="G194" s="3108">
        <v>1.0933999999999999</v>
      </c>
      <c r="H194" s="3108">
        <v>1.0933999999999999</v>
      </c>
      <c r="I194" s="3108">
        <v>0.96560000000000001</v>
      </c>
      <c r="J194" s="3108">
        <v>0.96560000000000001</v>
      </c>
      <c r="K194" s="3108">
        <v>0.96560000000000001</v>
      </c>
      <c r="L194" s="3108">
        <v>0.96560000000000001</v>
      </c>
      <c r="M194" s="3109">
        <v>0.96560000000000001</v>
      </c>
    </row>
    <row r="195" spans="1:13">
      <c r="A195" s="3107">
        <v>1.8</v>
      </c>
      <c r="B195" s="3108">
        <v>1.0674999999999999</v>
      </c>
      <c r="C195" s="3108">
        <v>1.0674999999999999</v>
      </c>
      <c r="D195" s="3108">
        <v>1.0790999999999999</v>
      </c>
      <c r="E195" s="3108">
        <v>1.0790999999999999</v>
      </c>
      <c r="F195" s="3108">
        <v>1.0790999999999999</v>
      </c>
      <c r="G195" s="3108">
        <v>1.0790999999999999</v>
      </c>
      <c r="H195" s="3108">
        <v>1.0790999999999999</v>
      </c>
      <c r="I195" s="3108">
        <v>0.94989999999999997</v>
      </c>
      <c r="J195" s="3108">
        <v>0.94989999999999997</v>
      </c>
      <c r="K195" s="3108">
        <v>0.94989999999999997</v>
      </c>
      <c r="L195" s="3108">
        <v>0.94989999999999997</v>
      </c>
      <c r="M195" s="3109">
        <v>0.94989999999999997</v>
      </c>
    </row>
    <row r="196" spans="1:13">
      <c r="A196" s="3107">
        <v>1.9</v>
      </c>
      <c r="B196" s="3108">
        <v>1.0558000000000001</v>
      </c>
      <c r="C196" s="3108">
        <v>1.0558000000000001</v>
      </c>
      <c r="D196" s="3108">
        <v>1.0654999999999999</v>
      </c>
      <c r="E196" s="3108">
        <v>1.0654999999999999</v>
      </c>
      <c r="F196" s="3108">
        <v>1.0654999999999999</v>
      </c>
      <c r="G196" s="3108">
        <v>1.0654999999999999</v>
      </c>
      <c r="H196" s="3108">
        <v>1.0654999999999999</v>
      </c>
      <c r="I196" s="3108">
        <v>0.93520000000000003</v>
      </c>
      <c r="J196" s="3108">
        <v>0.93520000000000003</v>
      </c>
      <c r="K196" s="3108">
        <v>0.93520000000000003</v>
      </c>
      <c r="L196" s="3108">
        <v>0.93520000000000003</v>
      </c>
      <c r="M196" s="3109">
        <v>0.93520000000000003</v>
      </c>
    </row>
    <row r="197" spans="1:13">
      <c r="A197" s="3107">
        <v>2</v>
      </c>
      <c r="B197" s="3108">
        <v>1.0449999999999999</v>
      </c>
      <c r="C197" s="3108">
        <v>1.0449999999999999</v>
      </c>
      <c r="D197" s="3108">
        <v>1.0528</v>
      </c>
      <c r="E197" s="3108">
        <v>1.0528</v>
      </c>
      <c r="F197" s="3108">
        <v>1.0528</v>
      </c>
      <c r="G197" s="3108">
        <v>1.0528</v>
      </c>
      <c r="H197" s="3108">
        <v>1.0528</v>
      </c>
      <c r="I197" s="3108">
        <v>0.92130000000000001</v>
      </c>
      <c r="J197" s="3108">
        <v>0.92130000000000001</v>
      </c>
      <c r="K197" s="3108">
        <v>0.92130000000000001</v>
      </c>
      <c r="L197" s="3108">
        <v>0.92130000000000001</v>
      </c>
      <c r="M197" s="3109">
        <v>0.92130000000000001</v>
      </c>
    </row>
    <row r="198" spans="1:13">
      <c r="A198" s="3110">
        <v>2.1</v>
      </c>
      <c r="B198" s="3108">
        <v>1.0347999999999999</v>
      </c>
      <c r="C198" s="3108">
        <v>1.0347999999999999</v>
      </c>
      <c r="D198" s="3108">
        <v>1.0407999999999999</v>
      </c>
      <c r="E198" s="3108">
        <v>1.0407999999999999</v>
      </c>
      <c r="F198" s="3108">
        <v>1.0407999999999999</v>
      </c>
      <c r="G198" s="3108">
        <v>1.0407999999999999</v>
      </c>
      <c r="H198" s="3108">
        <v>1.0407999999999999</v>
      </c>
      <c r="I198" s="3108">
        <v>0.90820000000000001</v>
      </c>
      <c r="J198" s="3108">
        <v>0.90820000000000001</v>
      </c>
      <c r="K198" s="3108">
        <v>0.90820000000000001</v>
      </c>
      <c r="L198" s="3108">
        <v>0.90820000000000001</v>
      </c>
      <c r="M198" s="3109">
        <v>0.90820000000000001</v>
      </c>
    </row>
    <row r="199" spans="1:13">
      <c r="A199" s="3110">
        <v>2.2000000000000002</v>
      </c>
      <c r="B199" s="3108">
        <v>1.0251999999999999</v>
      </c>
      <c r="C199" s="3108">
        <v>1.0251999999999999</v>
      </c>
      <c r="D199" s="3108">
        <v>1.0296000000000001</v>
      </c>
      <c r="E199" s="3108">
        <v>1.0296000000000001</v>
      </c>
      <c r="F199" s="3108">
        <v>1.0296000000000001</v>
      </c>
      <c r="G199" s="3108">
        <v>1.0296000000000001</v>
      </c>
      <c r="H199" s="3108">
        <v>1.0296000000000001</v>
      </c>
      <c r="I199" s="3108">
        <v>0.89570000000000005</v>
      </c>
      <c r="J199" s="3108">
        <v>0.89570000000000005</v>
      </c>
      <c r="K199" s="3108">
        <v>0.89570000000000005</v>
      </c>
      <c r="L199" s="3108">
        <v>0.89570000000000005</v>
      </c>
      <c r="M199" s="3109">
        <v>0.89570000000000005</v>
      </c>
    </row>
    <row r="200" spans="1:13">
      <c r="A200" s="3110">
        <v>2.2999999999999998</v>
      </c>
      <c r="B200" s="3108">
        <v>1.0162</v>
      </c>
      <c r="C200" s="3108">
        <v>1.0162</v>
      </c>
      <c r="D200" s="3108">
        <v>1.0190999999999999</v>
      </c>
      <c r="E200" s="3108">
        <v>1.0190999999999999</v>
      </c>
      <c r="F200" s="3108">
        <v>1.0190999999999999</v>
      </c>
      <c r="G200" s="3108">
        <v>1.0190999999999999</v>
      </c>
      <c r="H200" s="3108">
        <v>1.0190999999999999</v>
      </c>
      <c r="I200" s="3108">
        <v>0.88419999999999999</v>
      </c>
      <c r="J200" s="3108">
        <v>0.88419999999999999</v>
      </c>
      <c r="K200" s="3108">
        <v>0.88419999999999999</v>
      </c>
      <c r="L200" s="3108">
        <v>0.88419999999999999</v>
      </c>
      <c r="M200" s="3109">
        <v>0.88419999999999999</v>
      </c>
    </row>
    <row r="201" spans="1:13">
      <c r="A201" s="3110">
        <v>2.4</v>
      </c>
      <c r="B201" s="3108">
        <v>1.0078</v>
      </c>
      <c r="C201" s="3108">
        <v>1.0078</v>
      </c>
      <c r="D201" s="3108">
        <v>1.0092000000000001</v>
      </c>
      <c r="E201" s="3108">
        <v>1.0092000000000001</v>
      </c>
      <c r="F201" s="3108">
        <v>1.0092000000000001</v>
      </c>
      <c r="G201" s="3108">
        <v>1.0092000000000001</v>
      </c>
      <c r="H201" s="3108">
        <v>1.0092000000000001</v>
      </c>
      <c r="I201" s="3108">
        <v>0.87329999999999997</v>
      </c>
      <c r="J201" s="3108">
        <v>0.87329999999999997</v>
      </c>
      <c r="K201" s="3108">
        <v>0.87329999999999997</v>
      </c>
      <c r="L201" s="3108">
        <v>0.87329999999999997</v>
      </c>
      <c r="M201" s="3109">
        <v>0.87329999999999997</v>
      </c>
    </row>
    <row r="202" spans="1:13">
      <c r="A202" s="3110">
        <v>2.5</v>
      </c>
      <c r="B202" s="3108">
        <v>1</v>
      </c>
      <c r="C202" s="3108">
        <v>1</v>
      </c>
      <c r="D202" s="3108">
        <v>1</v>
      </c>
      <c r="E202" s="3108">
        <v>1</v>
      </c>
      <c r="F202" s="3108">
        <v>1</v>
      </c>
      <c r="G202" s="3108">
        <v>1</v>
      </c>
      <c r="H202" s="3108">
        <v>1</v>
      </c>
      <c r="I202" s="3108">
        <v>0.86299999999999999</v>
      </c>
      <c r="J202" s="3108">
        <v>0.86299999999999999</v>
      </c>
      <c r="K202" s="3108">
        <v>0.86299999999999999</v>
      </c>
      <c r="L202" s="3108">
        <v>0.86299999999999999</v>
      </c>
      <c r="M202" s="3109">
        <v>0.86299999999999999</v>
      </c>
    </row>
    <row r="203" spans="1:13">
      <c r="A203" s="3110">
        <v>2.6</v>
      </c>
      <c r="B203" s="3108">
        <v>0.99270000000000003</v>
      </c>
      <c r="C203" s="3108">
        <v>0.99270000000000003</v>
      </c>
      <c r="D203" s="3108">
        <v>0.99139999999999995</v>
      </c>
      <c r="E203" s="3108">
        <v>0.99139999999999995</v>
      </c>
      <c r="F203" s="3108">
        <v>0.99139999999999995</v>
      </c>
      <c r="G203" s="3108">
        <v>0.99139999999999995</v>
      </c>
      <c r="H203" s="3108">
        <v>0.99139999999999995</v>
      </c>
      <c r="I203" s="3108">
        <v>0.85340000000000005</v>
      </c>
      <c r="J203" s="3108">
        <v>0.85340000000000005</v>
      </c>
      <c r="K203" s="3108">
        <v>0.85340000000000005</v>
      </c>
      <c r="L203" s="3108">
        <v>0.85340000000000005</v>
      </c>
      <c r="M203" s="3109">
        <v>0.85340000000000005</v>
      </c>
    </row>
    <row r="204" spans="1:13">
      <c r="A204" s="3110">
        <v>2.7</v>
      </c>
      <c r="B204" s="3108">
        <v>0.98580000000000001</v>
      </c>
      <c r="C204" s="3108">
        <v>0.98580000000000001</v>
      </c>
      <c r="D204" s="3108">
        <v>0.98329999999999995</v>
      </c>
      <c r="E204" s="3108">
        <v>0.98329999999999995</v>
      </c>
      <c r="F204" s="3108">
        <v>0.98329999999999995</v>
      </c>
      <c r="G204" s="3108">
        <v>0.98329999999999995</v>
      </c>
      <c r="H204" s="3108">
        <v>0.98329999999999995</v>
      </c>
      <c r="I204" s="3108">
        <v>0.84440000000000004</v>
      </c>
      <c r="J204" s="3108">
        <v>0.84440000000000004</v>
      </c>
      <c r="K204" s="3108">
        <v>0.84440000000000004</v>
      </c>
      <c r="L204" s="3108">
        <v>0.84440000000000004</v>
      </c>
      <c r="M204" s="3109">
        <v>0.84440000000000004</v>
      </c>
    </row>
    <row r="205" spans="1:13">
      <c r="A205" s="3110">
        <v>2.8</v>
      </c>
      <c r="B205" s="3108">
        <v>0.97940000000000005</v>
      </c>
      <c r="C205" s="3108">
        <v>0.97940000000000005</v>
      </c>
      <c r="D205" s="3108">
        <v>0.97570000000000001</v>
      </c>
      <c r="E205" s="3108">
        <v>0.97570000000000001</v>
      </c>
      <c r="F205" s="3108">
        <v>0.97570000000000001</v>
      </c>
      <c r="G205" s="3108">
        <v>0.97570000000000001</v>
      </c>
      <c r="H205" s="3108">
        <v>0.97570000000000001</v>
      </c>
      <c r="I205" s="3108">
        <v>0.83599999999999997</v>
      </c>
      <c r="J205" s="3108">
        <v>0.83599999999999997</v>
      </c>
      <c r="K205" s="3108">
        <v>0.83599999999999997</v>
      </c>
      <c r="L205" s="3108">
        <v>0.83599999999999997</v>
      </c>
      <c r="M205" s="3109">
        <v>0.83599999999999997</v>
      </c>
    </row>
    <row r="206" spans="1:13">
      <c r="A206" s="3110">
        <v>2.9</v>
      </c>
      <c r="B206" s="3108">
        <v>0.97350000000000003</v>
      </c>
      <c r="C206" s="3108">
        <v>0.97350000000000003</v>
      </c>
      <c r="D206" s="3108">
        <v>0.96870000000000001</v>
      </c>
      <c r="E206" s="3108">
        <v>0.96870000000000001</v>
      </c>
      <c r="F206" s="3108">
        <v>0.96870000000000001</v>
      </c>
      <c r="G206" s="3108">
        <v>0.96870000000000001</v>
      </c>
      <c r="H206" s="3108">
        <v>0.96870000000000001</v>
      </c>
      <c r="I206" s="3108">
        <v>0.82820000000000005</v>
      </c>
      <c r="J206" s="3108">
        <v>0.82820000000000005</v>
      </c>
      <c r="K206" s="3108">
        <v>0.82820000000000005</v>
      </c>
      <c r="L206" s="3108">
        <v>0.82820000000000005</v>
      </c>
      <c r="M206" s="3109">
        <v>0.82820000000000005</v>
      </c>
    </row>
    <row r="207" spans="1:13">
      <c r="A207" s="3110">
        <v>3</v>
      </c>
      <c r="B207" s="3108">
        <v>0.96789999999999998</v>
      </c>
      <c r="C207" s="3108">
        <v>0.96789999999999998</v>
      </c>
      <c r="D207" s="3108">
        <v>0.96209999999999996</v>
      </c>
      <c r="E207" s="3108">
        <v>0.96209999999999996</v>
      </c>
      <c r="F207" s="3108">
        <v>0.96209999999999996</v>
      </c>
      <c r="G207" s="3108">
        <v>0.96209999999999996</v>
      </c>
      <c r="H207" s="3108">
        <v>0.96209999999999996</v>
      </c>
      <c r="I207" s="3108">
        <v>0.82079999999999997</v>
      </c>
      <c r="J207" s="3108">
        <v>0.82079999999999997</v>
      </c>
      <c r="K207" s="3108">
        <v>0.82079999999999997</v>
      </c>
      <c r="L207" s="3108">
        <v>0.82079999999999997</v>
      </c>
      <c r="M207" s="3109">
        <v>0.82079999999999997</v>
      </c>
    </row>
    <row r="208" spans="1:13">
      <c r="A208" s="3110">
        <v>3.1</v>
      </c>
      <c r="B208" s="3108">
        <v>0.9627</v>
      </c>
      <c r="C208" s="3108">
        <v>0.9627</v>
      </c>
      <c r="D208" s="3108">
        <v>0.95589999999999997</v>
      </c>
      <c r="E208" s="3108">
        <v>0.95589999999999997</v>
      </c>
      <c r="F208" s="3108">
        <v>0.95589999999999997</v>
      </c>
      <c r="G208" s="3108">
        <v>0.95589999999999997</v>
      </c>
      <c r="H208" s="3108">
        <v>0.95589999999999997</v>
      </c>
      <c r="I208" s="3108">
        <v>0.81389999999999996</v>
      </c>
      <c r="J208" s="3108">
        <v>0.81389999999999996</v>
      </c>
      <c r="K208" s="3108">
        <v>0.81389999999999996</v>
      </c>
      <c r="L208" s="3108">
        <v>0.81389999999999996</v>
      </c>
      <c r="M208" s="3109">
        <v>0.81389999999999996</v>
      </c>
    </row>
    <row r="209" spans="1:13">
      <c r="A209" s="3110">
        <v>3.2</v>
      </c>
      <c r="B209" s="3108">
        <v>0.95789999999999997</v>
      </c>
      <c r="C209" s="3108">
        <v>0.95789999999999997</v>
      </c>
      <c r="D209" s="3108">
        <v>0.95020000000000004</v>
      </c>
      <c r="E209" s="3108">
        <v>0.95020000000000004</v>
      </c>
      <c r="F209" s="3108">
        <v>0.95020000000000004</v>
      </c>
      <c r="G209" s="3108">
        <v>0.95020000000000004</v>
      </c>
      <c r="H209" s="3108">
        <v>0.95020000000000004</v>
      </c>
      <c r="I209" s="3108">
        <v>0.8075</v>
      </c>
      <c r="J209" s="3108">
        <v>0.8075</v>
      </c>
      <c r="K209" s="3108">
        <v>0.8075</v>
      </c>
      <c r="L209" s="3108">
        <v>0.8075</v>
      </c>
      <c r="M209" s="3109">
        <v>0.8075</v>
      </c>
    </row>
    <row r="210" spans="1:13">
      <c r="A210" s="3110">
        <v>3.3</v>
      </c>
      <c r="B210" s="3108">
        <v>0.95340000000000003</v>
      </c>
      <c r="C210" s="3108">
        <v>0.95340000000000003</v>
      </c>
      <c r="D210" s="3108">
        <v>0.94479999999999997</v>
      </c>
      <c r="E210" s="3108">
        <v>0.94479999999999997</v>
      </c>
      <c r="F210" s="3108">
        <v>0.94479999999999997</v>
      </c>
      <c r="G210" s="3108">
        <v>0.94479999999999997</v>
      </c>
      <c r="H210" s="3108">
        <v>0.94479999999999997</v>
      </c>
      <c r="I210" s="3108">
        <v>0.80149999999999999</v>
      </c>
      <c r="J210" s="3108">
        <v>0.80149999999999999</v>
      </c>
      <c r="K210" s="3108">
        <v>0.80149999999999999</v>
      </c>
      <c r="L210" s="3108">
        <v>0.80149999999999999</v>
      </c>
      <c r="M210" s="3109">
        <v>0.80149999999999999</v>
      </c>
    </row>
    <row r="211" spans="1:13">
      <c r="A211" s="3110">
        <v>3.4</v>
      </c>
      <c r="B211" s="3108">
        <v>0.94920000000000004</v>
      </c>
      <c r="C211" s="3108">
        <v>0.94920000000000004</v>
      </c>
      <c r="D211" s="3108">
        <v>0.93989999999999996</v>
      </c>
      <c r="E211" s="3108">
        <v>0.93989999999999996</v>
      </c>
      <c r="F211" s="3108">
        <v>0.93989999999999996</v>
      </c>
      <c r="G211" s="3108">
        <v>0.93989999999999996</v>
      </c>
      <c r="H211" s="3108">
        <v>0.93989999999999996</v>
      </c>
      <c r="I211" s="3108">
        <v>0.79590000000000005</v>
      </c>
      <c r="J211" s="3108">
        <v>0.79590000000000005</v>
      </c>
      <c r="K211" s="3108">
        <v>0.79590000000000005</v>
      </c>
      <c r="L211" s="3108">
        <v>0.79590000000000005</v>
      </c>
      <c r="M211" s="3109">
        <v>0.79590000000000005</v>
      </c>
    </row>
    <row r="212" spans="1:13">
      <c r="A212" s="3110">
        <v>3.5</v>
      </c>
      <c r="B212" s="3108">
        <v>0.94540000000000002</v>
      </c>
      <c r="C212" s="3108">
        <v>0.94540000000000002</v>
      </c>
      <c r="D212" s="3108">
        <v>0.93520000000000003</v>
      </c>
      <c r="E212" s="3108">
        <v>0.93520000000000003</v>
      </c>
      <c r="F212" s="3108">
        <v>0.93520000000000003</v>
      </c>
      <c r="G212" s="3108">
        <v>0.93520000000000003</v>
      </c>
      <c r="H212" s="3108">
        <v>0.93520000000000003</v>
      </c>
      <c r="I212" s="3108">
        <v>0.79059999999999997</v>
      </c>
      <c r="J212" s="3108">
        <v>0.79059999999999997</v>
      </c>
      <c r="K212" s="3108">
        <v>0.79059999999999997</v>
      </c>
      <c r="L212" s="3108">
        <v>0.79059999999999997</v>
      </c>
      <c r="M212" s="3109">
        <v>0.79059999999999997</v>
      </c>
    </row>
    <row r="213" spans="1:13">
      <c r="A213" s="3110">
        <v>3.6</v>
      </c>
      <c r="B213" s="3108">
        <v>0.94179999999999997</v>
      </c>
      <c r="C213" s="3108">
        <v>0.94179999999999997</v>
      </c>
      <c r="D213" s="3108">
        <v>0.93089999999999995</v>
      </c>
      <c r="E213" s="3108">
        <v>0.93089999999999995</v>
      </c>
      <c r="F213" s="3108">
        <v>0.93089999999999995</v>
      </c>
      <c r="G213" s="3108">
        <v>0.93089999999999995</v>
      </c>
      <c r="H213" s="3108">
        <v>0.93089999999999995</v>
      </c>
      <c r="I213" s="3108">
        <v>0.78569999999999995</v>
      </c>
      <c r="J213" s="3108">
        <v>0.78569999999999995</v>
      </c>
      <c r="K213" s="3108">
        <v>0.78569999999999995</v>
      </c>
      <c r="L213" s="3108">
        <v>0.78569999999999995</v>
      </c>
      <c r="M213" s="3109">
        <v>0.78569999999999995</v>
      </c>
    </row>
    <row r="214" spans="1:13">
      <c r="A214" s="3110">
        <v>3.7</v>
      </c>
      <c r="B214" s="3108">
        <v>0.93840000000000001</v>
      </c>
      <c r="C214" s="3108">
        <v>0.93840000000000001</v>
      </c>
      <c r="D214" s="3108">
        <v>0.92689999999999995</v>
      </c>
      <c r="E214" s="3108">
        <v>0.92689999999999995</v>
      </c>
      <c r="F214" s="3108">
        <v>0.92689999999999995</v>
      </c>
      <c r="G214" s="3108">
        <v>0.92689999999999995</v>
      </c>
      <c r="H214" s="3108">
        <v>0.92689999999999995</v>
      </c>
      <c r="I214" s="3108">
        <v>0.78110000000000002</v>
      </c>
      <c r="J214" s="3108">
        <v>0.78110000000000002</v>
      </c>
      <c r="K214" s="3108">
        <v>0.78110000000000002</v>
      </c>
      <c r="L214" s="3108">
        <v>0.78110000000000002</v>
      </c>
      <c r="M214" s="3109">
        <v>0.78110000000000002</v>
      </c>
    </row>
    <row r="215" spans="1:13">
      <c r="A215" s="3110">
        <v>3.8</v>
      </c>
      <c r="B215" s="3108">
        <v>0.93530000000000002</v>
      </c>
      <c r="C215" s="3108">
        <v>0.93530000000000002</v>
      </c>
      <c r="D215" s="3108">
        <v>0.92310000000000003</v>
      </c>
      <c r="E215" s="3108">
        <v>0.92310000000000003</v>
      </c>
      <c r="F215" s="3108">
        <v>0.92310000000000003</v>
      </c>
      <c r="G215" s="3108">
        <v>0.92310000000000003</v>
      </c>
      <c r="H215" s="3108">
        <v>0.92310000000000003</v>
      </c>
      <c r="I215" s="3108">
        <v>0.77680000000000005</v>
      </c>
      <c r="J215" s="3108">
        <v>0.77680000000000005</v>
      </c>
      <c r="K215" s="3108">
        <v>0.77680000000000005</v>
      </c>
      <c r="L215" s="3108">
        <v>0.77680000000000005</v>
      </c>
      <c r="M215" s="3109">
        <v>0.77680000000000005</v>
      </c>
    </row>
    <row r="216" spans="1:13">
      <c r="A216" s="3110">
        <v>3.9</v>
      </c>
      <c r="B216" s="3108">
        <v>0.93240000000000001</v>
      </c>
      <c r="C216" s="3108">
        <v>0.93240000000000001</v>
      </c>
      <c r="D216" s="3108">
        <v>0.91959999999999997</v>
      </c>
      <c r="E216" s="3108">
        <v>0.91959999999999997</v>
      </c>
      <c r="F216" s="3108">
        <v>0.91959999999999997</v>
      </c>
      <c r="G216" s="3108">
        <v>0.91959999999999997</v>
      </c>
      <c r="H216" s="3108">
        <v>0.91959999999999997</v>
      </c>
      <c r="I216" s="3108">
        <v>0.77270000000000005</v>
      </c>
      <c r="J216" s="3108">
        <v>0.77270000000000005</v>
      </c>
      <c r="K216" s="3108">
        <v>0.77270000000000005</v>
      </c>
      <c r="L216" s="3108">
        <v>0.77270000000000005</v>
      </c>
      <c r="M216" s="3109">
        <v>0.77270000000000005</v>
      </c>
    </row>
    <row r="217" spans="1:13">
      <c r="A217" s="3110">
        <v>4</v>
      </c>
      <c r="B217" s="3108">
        <v>0.92969999999999997</v>
      </c>
      <c r="C217" s="3108">
        <v>0.92969999999999997</v>
      </c>
      <c r="D217" s="3108">
        <v>0.9163</v>
      </c>
      <c r="E217" s="3108">
        <v>0.9163</v>
      </c>
      <c r="F217" s="3108">
        <v>0.9163</v>
      </c>
      <c r="G217" s="3108">
        <v>0.9163</v>
      </c>
      <c r="H217" s="3108">
        <v>0.9163</v>
      </c>
      <c r="I217" s="3108">
        <v>0.76880000000000004</v>
      </c>
      <c r="J217" s="3108">
        <v>0.76880000000000004</v>
      </c>
      <c r="K217" s="3108">
        <v>0.76880000000000004</v>
      </c>
      <c r="L217" s="3108">
        <v>0.76880000000000004</v>
      </c>
      <c r="M217" s="3109">
        <v>0.76880000000000004</v>
      </c>
    </row>
    <row r="218" spans="1:13">
      <c r="A218" s="3110">
        <v>4.0999999999999996</v>
      </c>
      <c r="B218" s="3108">
        <v>0.92720000000000002</v>
      </c>
      <c r="C218" s="3108">
        <v>0.92720000000000002</v>
      </c>
      <c r="D218" s="3108">
        <v>0.91320000000000001</v>
      </c>
      <c r="E218" s="3108">
        <v>0.91320000000000001</v>
      </c>
      <c r="F218" s="3108">
        <v>0.91320000000000001</v>
      </c>
      <c r="G218" s="3108">
        <v>0.91320000000000001</v>
      </c>
      <c r="H218" s="3108">
        <v>0.91320000000000001</v>
      </c>
      <c r="I218" s="3108">
        <v>0.7651</v>
      </c>
      <c r="J218" s="3108">
        <v>0.7651</v>
      </c>
      <c r="K218" s="3108">
        <v>0.7651</v>
      </c>
      <c r="L218" s="3108">
        <v>0.7651</v>
      </c>
      <c r="M218" s="3109">
        <v>0.7651</v>
      </c>
    </row>
    <row r="219" spans="1:13">
      <c r="A219" s="3110">
        <v>4.2</v>
      </c>
      <c r="B219" s="3108">
        <v>0.92479999999999996</v>
      </c>
      <c r="C219" s="3108">
        <v>0.92479999999999996</v>
      </c>
      <c r="D219" s="3108">
        <v>0.91020000000000001</v>
      </c>
      <c r="E219" s="3108">
        <v>0.91020000000000001</v>
      </c>
      <c r="F219" s="3108">
        <v>0.91020000000000001</v>
      </c>
      <c r="G219" s="3108">
        <v>0.91020000000000001</v>
      </c>
      <c r="H219" s="3108">
        <v>0.91020000000000001</v>
      </c>
      <c r="I219" s="3108">
        <v>0.76149999999999995</v>
      </c>
      <c r="J219" s="3108">
        <v>0.76149999999999995</v>
      </c>
      <c r="K219" s="3108">
        <v>0.76149999999999995</v>
      </c>
      <c r="L219" s="3108">
        <v>0.76149999999999995</v>
      </c>
      <c r="M219" s="3109">
        <v>0.76149999999999995</v>
      </c>
    </row>
    <row r="220" spans="1:13">
      <c r="A220" s="3110">
        <v>4.3</v>
      </c>
      <c r="B220" s="3108">
        <v>0.92249999999999999</v>
      </c>
      <c r="C220" s="3108">
        <v>0.92249999999999999</v>
      </c>
      <c r="D220" s="3108">
        <v>0.9073</v>
      </c>
      <c r="E220" s="3108">
        <v>0.9073</v>
      </c>
      <c r="F220" s="3108">
        <v>0.9073</v>
      </c>
      <c r="G220" s="3108">
        <v>0.9073</v>
      </c>
      <c r="H220" s="3108">
        <v>0.9073</v>
      </c>
      <c r="I220" s="3108">
        <v>0.75800000000000001</v>
      </c>
      <c r="J220" s="3108">
        <v>0.75800000000000001</v>
      </c>
      <c r="K220" s="3108">
        <v>0.75800000000000001</v>
      </c>
      <c r="L220" s="3108">
        <v>0.75800000000000001</v>
      </c>
      <c r="M220" s="3109">
        <v>0.75800000000000001</v>
      </c>
    </row>
    <row r="221" spans="1:13">
      <c r="A221" s="3110">
        <v>4.4000000000000004</v>
      </c>
      <c r="B221" s="3108">
        <v>0.92030000000000001</v>
      </c>
      <c r="C221" s="3108">
        <v>0.92030000000000001</v>
      </c>
      <c r="D221" s="3108">
        <v>0.90449999999999997</v>
      </c>
      <c r="E221" s="3108">
        <v>0.90449999999999997</v>
      </c>
      <c r="F221" s="3108">
        <v>0.90449999999999997</v>
      </c>
      <c r="G221" s="3108">
        <v>0.90449999999999997</v>
      </c>
      <c r="H221" s="3108">
        <v>0.90449999999999997</v>
      </c>
      <c r="I221" s="3108">
        <v>0.75460000000000005</v>
      </c>
      <c r="J221" s="3108">
        <v>0.75460000000000005</v>
      </c>
      <c r="K221" s="3108">
        <v>0.75460000000000005</v>
      </c>
      <c r="L221" s="3108">
        <v>0.75460000000000005</v>
      </c>
      <c r="M221" s="3109">
        <v>0.75460000000000005</v>
      </c>
    </row>
    <row r="222" spans="1:13">
      <c r="A222" s="3110">
        <v>4.5</v>
      </c>
      <c r="B222" s="3108">
        <v>0.91810000000000003</v>
      </c>
      <c r="C222" s="3108">
        <v>0.91810000000000003</v>
      </c>
      <c r="D222" s="3108">
        <v>0.90180000000000005</v>
      </c>
      <c r="E222" s="3108">
        <v>0.90180000000000005</v>
      </c>
      <c r="F222" s="3108">
        <v>0.90180000000000005</v>
      </c>
      <c r="G222" s="3108">
        <v>0.90180000000000005</v>
      </c>
      <c r="H222" s="3108">
        <v>0.90180000000000005</v>
      </c>
      <c r="I222" s="3108">
        <v>0.75129999999999997</v>
      </c>
      <c r="J222" s="3108">
        <v>0.75129999999999997</v>
      </c>
      <c r="K222" s="3108">
        <v>0.75129999999999997</v>
      </c>
      <c r="L222" s="3108">
        <v>0.75129999999999997</v>
      </c>
      <c r="M222" s="3109">
        <v>0.75129999999999997</v>
      </c>
    </row>
    <row r="223" spans="1:13">
      <c r="A223" s="3110">
        <v>4.5999999999999996</v>
      </c>
      <c r="B223" s="3108">
        <v>0.91600000000000004</v>
      </c>
      <c r="C223" s="3108">
        <v>0.91600000000000004</v>
      </c>
      <c r="D223" s="3108">
        <v>0.8992</v>
      </c>
      <c r="E223" s="3108">
        <v>0.8992</v>
      </c>
      <c r="F223" s="3108">
        <v>0.8992</v>
      </c>
      <c r="G223" s="3108">
        <v>0.8992</v>
      </c>
      <c r="H223" s="3108">
        <v>0.8992</v>
      </c>
      <c r="I223" s="3108">
        <v>0.748</v>
      </c>
      <c r="J223" s="3108">
        <v>0.748</v>
      </c>
      <c r="K223" s="3108">
        <v>0.748</v>
      </c>
      <c r="L223" s="3108">
        <v>0.748</v>
      </c>
      <c r="M223" s="3109">
        <v>0.748</v>
      </c>
    </row>
    <row r="224" spans="1:13">
      <c r="A224" s="3110">
        <v>4.7</v>
      </c>
      <c r="B224" s="3108">
        <v>0.91390000000000005</v>
      </c>
      <c r="C224" s="3108">
        <v>0.91390000000000005</v>
      </c>
      <c r="D224" s="3108">
        <v>0.89659999999999995</v>
      </c>
      <c r="E224" s="3108">
        <v>0.89659999999999995</v>
      </c>
      <c r="F224" s="3108">
        <v>0.89659999999999995</v>
      </c>
      <c r="G224" s="3108">
        <v>0.89659999999999995</v>
      </c>
      <c r="H224" s="3108">
        <v>0.89659999999999995</v>
      </c>
      <c r="I224" s="3108">
        <v>0.74480000000000002</v>
      </c>
      <c r="J224" s="3108">
        <v>0.74480000000000002</v>
      </c>
      <c r="K224" s="3108">
        <v>0.74480000000000002</v>
      </c>
      <c r="L224" s="3108">
        <v>0.74480000000000002</v>
      </c>
      <c r="M224" s="3109">
        <v>0.74480000000000002</v>
      </c>
    </row>
    <row r="225" spans="1:13">
      <c r="A225" s="3110">
        <v>4.8</v>
      </c>
      <c r="B225" s="3108">
        <v>0.91180000000000005</v>
      </c>
      <c r="C225" s="3108">
        <v>0.91180000000000005</v>
      </c>
      <c r="D225" s="3108">
        <v>0.89410000000000001</v>
      </c>
      <c r="E225" s="3108">
        <v>0.89410000000000001</v>
      </c>
      <c r="F225" s="3108">
        <v>0.89410000000000001</v>
      </c>
      <c r="G225" s="3108">
        <v>0.89410000000000001</v>
      </c>
      <c r="H225" s="3108">
        <v>0.89410000000000001</v>
      </c>
      <c r="I225" s="3108">
        <v>0.74160000000000004</v>
      </c>
      <c r="J225" s="3108">
        <v>0.74160000000000004</v>
      </c>
      <c r="K225" s="3108">
        <v>0.74160000000000004</v>
      </c>
      <c r="L225" s="3108">
        <v>0.74160000000000004</v>
      </c>
      <c r="M225" s="3109">
        <v>0.74160000000000004</v>
      </c>
    </row>
    <row r="226" spans="1:13">
      <c r="A226" s="3110">
        <v>4.9000000000000004</v>
      </c>
      <c r="B226" s="3108">
        <v>0.90980000000000005</v>
      </c>
      <c r="C226" s="3108">
        <v>0.90980000000000005</v>
      </c>
      <c r="D226" s="3108">
        <v>0.89159999999999995</v>
      </c>
      <c r="E226" s="3108">
        <v>0.89159999999999995</v>
      </c>
      <c r="F226" s="3108">
        <v>0.89159999999999995</v>
      </c>
      <c r="G226" s="3108">
        <v>0.89159999999999995</v>
      </c>
      <c r="H226" s="3108">
        <v>0.89159999999999995</v>
      </c>
      <c r="I226" s="3108">
        <v>0.73839999999999995</v>
      </c>
      <c r="J226" s="3108">
        <v>0.73839999999999995</v>
      </c>
      <c r="K226" s="3108">
        <v>0.73839999999999995</v>
      </c>
      <c r="L226" s="3108">
        <v>0.73839999999999995</v>
      </c>
      <c r="M226" s="3109">
        <v>0.73839999999999995</v>
      </c>
    </row>
    <row r="227" spans="1:13">
      <c r="A227" s="3110">
        <v>5</v>
      </c>
      <c r="B227" s="3108">
        <v>0.90780000000000005</v>
      </c>
      <c r="C227" s="3108">
        <v>0.90780000000000005</v>
      </c>
      <c r="D227" s="3108">
        <v>0.8891</v>
      </c>
      <c r="E227" s="3108">
        <v>0.8891</v>
      </c>
      <c r="F227" s="3108">
        <v>0.8891</v>
      </c>
      <c r="G227" s="3108">
        <v>0.8891</v>
      </c>
      <c r="H227" s="3108">
        <v>0.8891</v>
      </c>
      <c r="I227" s="3108">
        <v>0.73529999999999995</v>
      </c>
      <c r="J227" s="3108">
        <v>0.73529999999999995</v>
      </c>
      <c r="K227" s="3108">
        <v>0.73529999999999995</v>
      </c>
      <c r="L227" s="3108">
        <v>0.73529999999999995</v>
      </c>
      <c r="M227" s="3109">
        <v>0.73529999999999995</v>
      </c>
    </row>
    <row r="228" spans="1:13">
      <c r="A228" s="3107">
        <v>5.0999999999999996</v>
      </c>
      <c r="B228" s="3108">
        <v>0.90580000000000005</v>
      </c>
      <c r="C228" s="3108">
        <v>0.90580000000000005</v>
      </c>
      <c r="D228" s="3108">
        <v>0.88670000000000004</v>
      </c>
      <c r="E228" s="3108">
        <v>0.88670000000000004</v>
      </c>
      <c r="F228" s="3108">
        <v>0.88670000000000004</v>
      </c>
      <c r="G228" s="3108">
        <v>0.88670000000000004</v>
      </c>
      <c r="H228" s="3108">
        <v>0.88670000000000004</v>
      </c>
      <c r="I228" s="3108">
        <v>0.73219999999999996</v>
      </c>
      <c r="J228" s="3108">
        <v>0.73219999999999996</v>
      </c>
      <c r="K228" s="3108">
        <v>0.73219999999999996</v>
      </c>
      <c r="L228" s="3108">
        <v>0.73219999999999996</v>
      </c>
      <c r="M228" s="3109">
        <v>0.73219999999999996</v>
      </c>
    </row>
    <row r="229" spans="1:13">
      <c r="A229" s="3107">
        <v>5.2</v>
      </c>
      <c r="B229" s="3108">
        <v>0.90380000000000005</v>
      </c>
      <c r="C229" s="3108">
        <v>0.90380000000000005</v>
      </c>
      <c r="D229" s="3108">
        <v>0.88429999999999997</v>
      </c>
      <c r="E229" s="3108">
        <v>0.88429999999999997</v>
      </c>
      <c r="F229" s="3108">
        <v>0.88429999999999997</v>
      </c>
      <c r="G229" s="3108">
        <v>0.88429999999999997</v>
      </c>
      <c r="H229" s="3108">
        <v>0.88429999999999997</v>
      </c>
      <c r="I229" s="3108">
        <v>0.72909999999999997</v>
      </c>
      <c r="J229" s="3108">
        <v>0.72909999999999997</v>
      </c>
      <c r="K229" s="3108">
        <v>0.72909999999999997</v>
      </c>
      <c r="L229" s="3108">
        <v>0.72909999999999997</v>
      </c>
      <c r="M229" s="3109">
        <v>0.72909999999999997</v>
      </c>
    </row>
    <row r="230" spans="1:13">
      <c r="A230" s="3107">
        <v>5.3</v>
      </c>
      <c r="B230" s="3108">
        <v>0.90190000000000003</v>
      </c>
      <c r="C230" s="3108">
        <v>0.90190000000000003</v>
      </c>
      <c r="D230" s="3108">
        <v>0.88190000000000002</v>
      </c>
      <c r="E230" s="3108">
        <v>0.88190000000000002</v>
      </c>
      <c r="F230" s="3108">
        <v>0.88190000000000002</v>
      </c>
      <c r="G230" s="3108">
        <v>0.88190000000000002</v>
      </c>
      <c r="H230" s="3108">
        <v>0.88190000000000002</v>
      </c>
      <c r="I230" s="3108">
        <v>0.72609999999999997</v>
      </c>
      <c r="J230" s="3108">
        <v>0.72609999999999997</v>
      </c>
      <c r="K230" s="3108">
        <v>0.72609999999999997</v>
      </c>
      <c r="L230" s="3108">
        <v>0.72609999999999997</v>
      </c>
      <c r="M230" s="3109">
        <v>0.72609999999999997</v>
      </c>
    </row>
    <row r="231" spans="1:13">
      <c r="A231" s="3107">
        <v>5.4</v>
      </c>
      <c r="B231" s="3108">
        <v>0.9</v>
      </c>
      <c r="C231" s="3108">
        <v>0.9</v>
      </c>
      <c r="D231" s="3108">
        <v>0.87949999999999995</v>
      </c>
      <c r="E231" s="3108">
        <v>0.87949999999999995</v>
      </c>
      <c r="F231" s="3108">
        <v>0.87949999999999995</v>
      </c>
      <c r="G231" s="3108">
        <v>0.87949999999999995</v>
      </c>
      <c r="H231" s="3108">
        <v>0.87949999999999995</v>
      </c>
      <c r="I231" s="3108">
        <v>0.72309999999999997</v>
      </c>
      <c r="J231" s="3108">
        <v>0.72309999999999997</v>
      </c>
      <c r="K231" s="3108">
        <v>0.72309999999999997</v>
      </c>
      <c r="L231" s="3108">
        <v>0.72309999999999997</v>
      </c>
      <c r="M231" s="3109">
        <v>0.72309999999999997</v>
      </c>
    </row>
    <row r="232" spans="1:13">
      <c r="A232" s="3107">
        <v>5.5</v>
      </c>
      <c r="B232" s="3108">
        <v>0.89810000000000001</v>
      </c>
      <c r="C232" s="3108">
        <v>0.89810000000000001</v>
      </c>
      <c r="D232" s="3108">
        <v>0.87719999999999998</v>
      </c>
      <c r="E232" s="3108">
        <v>0.87719999999999998</v>
      </c>
      <c r="F232" s="3108">
        <v>0.87719999999999998</v>
      </c>
      <c r="G232" s="3108">
        <v>0.87719999999999998</v>
      </c>
      <c r="H232" s="3108">
        <v>0.87719999999999998</v>
      </c>
      <c r="I232" s="3108">
        <v>0.72009999999999996</v>
      </c>
      <c r="J232" s="3108">
        <v>0.72009999999999996</v>
      </c>
      <c r="K232" s="3108">
        <v>0.72009999999999996</v>
      </c>
      <c r="L232" s="3108">
        <v>0.72009999999999996</v>
      </c>
      <c r="M232" s="3109">
        <v>0.72009999999999996</v>
      </c>
    </row>
    <row r="233" spans="1:13">
      <c r="A233" s="3107">
        <v>5.6</v>
      </c>
      <c r="B233" s="3108">
        <v>0.8962</v>
      </c>
      <c r="C233" s="3108">
        <v>0.8962</v>
      </c>
      <c r="D233" s="3108">
        <v>0.87490000000000001</v>
      </c>
      <c r="E233" s="3108">
        <v>0.87490000000000001</v>
      </c>
      <c r="F233" s="3108">
        <v>0.87490000000000001</v>
      </c>
      <c r="G233" s="3108">
        <v>0.87490000000000001</v>
      </c>
      <c r="H233" s="3108">
        <v>0.87490000000000001</v>
      </c>
      <c r="I233" s="3108">
        <v>0.71709999999999996</v>
      </c>
      <c r="J233" s="3108">
        <v>0.71709999999999996</v>
      </c>
      <c r="K233" s="3108">
        <v>0.71709999999999996</v>
      </c>
      <c r="L233" s="3108">
        <v>0.71709999999999996</v>
      </c>
      <c r="M233" s="3109">
        <v>0.71709999999999996</v>
      </c>
    </row>
    <row r="234" spans="1:13">
      <c r="A234" s="3110">
        <v>5.7</v>
      </c>
      <c r="B234" s="3108">
        <v>0.89429999999999998</v>
      </c>
      <c r="C234" s="3108">
        <v>0.89429999999999998</v>
      </c>
      <c r="D234" s="3108">
        <v>0.87260000000000004</v>
      </c>
      <c r="E234" s="3108">
        <v>0.87260000000000004</v>
      </c>
      <c r="F234" s="3108">
        <v>0.87260000000000004</v>
      </c>
      <c r="G234" s="3108">
        <v>0.87260000000000004</v>
      </c>
      <c r="H234" s="3108">
        <v>0.87260000000000004</v>
      </c>
      <c r="I234" s="3108">
        <v>0.71419999999999995</v>
      </c>
      <c r="J234" s="3108">
        <v>0.71419999999999995</v>
      </c>
      <c r="K234" s="3108">
        <v>0.71419999999999995</v>
      </c>
      <c r="L234" s="3108">
        <v>0.71419999999999995</v>
      </c>
      <c r="M234" s="3109">
        <v>0.71419999999999995</v>
      </c>
    </row>
    <row r="235" spans="1:13">
      <c r="A235" s="3107">
        <v>5.8</v>
      </c>
      <c r="B235" s="3108">
        <v>0.89249999999999996</v>
      </c>
      <c r="C235" s="3108">
        <v>0.89249999999999996</v>
      </c>
      <c r="D235" s="3108">
        <v>0.87029999999999996</v>
      </c>
      <c r="E235" s="3108">
        <v>0.87029999999999996</v>
      </c>
      <c r="F235" s="3108">
        <v>0.87029999999999996</v>
      </c>
      <c r="G235" s="3108">
        <v>0.87029999999999996</v>
      </c>
      <c r="H235" s="3108">
        <v>0.87029999999999996</v>
      </c>
      <c r="I235" s="3108">
        <v>0.71130000000000004</v>
      </c>
      <c r="J235" s="3108">
        <v>0.71130000000000004</v>
      </c>
      <c r="K235" s="3108">
        <v>0.71130000000000004</v>
      </c>
      <c r="L235" s="3108">
        <v>0.71130000000000004</v>
      </c>
      <c r="M235" s="3109">
        <v>0.71130000000000004</v>
      </c>
    </row>
    <row r="236" spans="1:13">
      <c r="A236" s="3107">
        <v>5.9</v>
      </c>
      <c r="B236" s="3108">
        <v>0.89070000000000005</v>
      </c>
      <c r="C236" s="3108">
        <v>0.89070000000000005</v>
      </c>
      <c r="D236" s="3108">
        <v>0.86799999999999999</v>
      </c>
      <c r="E236" s="3108">
        <v>0.86799999999999999</v>
      </c>
      <c r="F236" s="3108">
        <v>0.86799999999999999</v>
      </c>
      <c r="G236" s="3108">
        <v>0.86799999999999999</v>
      </c>
      <c r="H236" s="3108">
        <v>0.86799999999999999</v>
      </c>
      <c r="I236" s="3108">
        <v>0.70840000000000003</v>
      </c>
      <c r="J236" s="3108">
        <v>0.70840000000000003</v>
      </c>
      <c r="K236" s="3108">
        <v>0.70840000000000003</v>
      </c>
      <c r="L236" s="3108">
        <v>0.70840000000000003</v>
      </c>
      <c r="M236" s="3109">
        <v>0.70840000000000003</v>
      </c>
    </row>
    <row r="237" spans="1:13">
      <c r="A237" s="3107">
        <v>6</v>
      </c>
      <c r="B237" s="3108">
        <v>0.88890000000000002</v>
      </c>
      <c r="C237" s="3108">
        <v>0.88890000000000002</v>
      </c>
      <c r="D237" s="3108">
        <v>0.86580000000000001</v>
      </c>
      <c r="E237" s="3108">
        <v>0.86580000000000001</v>
      </c>
      <c r="F237" s="3108">
        <v>0.86580000000000001</v>
      </c>
      <c r="G237" s="3108">
        <v>0.86580000000000001</v>
      </c>
      <c r="H237" s="3108">
        <v>0.86580000000000001</v>
      </c>
      <c r="I237" s="3108">
        <v>0.70550000000000002</v>
      </c>
      <c r="J237" s="3108">
        <v>0.70550000000000002</v>
      </c>
      <c r="K237" s="3108">
        <v>0.70550000000000002</v>
      </c>
      <c r="L237" s="3108">
        <v>0.70550000000000002</v>
      </c>
      <c r="M237" s="3109">
        <v>0.70550000000000002</v>
      </c>
    </row>
    <row r="238" spans="1:13">
      <c r="A238" s="3107">
        <v>6.1</v>
      </c>
      <c r="B238" s="3108">
        <v>0.8871</v>
      </c>
      <c r="C238" s="3108">
        <v>0.8871</v>
      </c>
      <c r="D238" s="3108">
        <v>0.86360000000000003</v>
      </c>
      <c r="E238" s="3108">
        <v>0.86360000000000003</v>
      </c>
      <c r="F238" s="3108">
        <v>0.86360000000000003</v>
      </c>
      <c r="G238" s="3108">
        <v>0.86360000000000003</v>
      </c>
      <c r="H238" s="3108">
        <v>0.86360000000000003</v>
      </c>
      <c r="I238" s="3108">
        <v>0.70269999999999999</v>
      </c>
      <c r="J238" s="3108">
        <v>0.70269999999999999</v>
      </c>
      <c r="K238" s="3108">
        <v>0.70269999999999999</v>
      </c>
      <c r="L238" s="3108">
        <v>0.70269999999999999</v>
      </c>
      <c r="M238" s="3109">
        <v>0.70269999999999999</v>
      </c>
    </row>
    <row r="239" spans="1:13">
      <c r="A239" s="3107">
        <v>6.2</v>
      </c>
      <c r="B239" s="3108">
        <v>0.88529999999999998</v>
      </c>
      <c r="C239" s="3108">
        <v>0.88529999999999998</v>
      </c>
      <c r="D239" s="3108">
        <v>0.86140000000000005</v>
      </c>
      <c r="E239" s="3108">
        <v>0.86140000000000005</v>
      </c>
      <c r="F239" s="3108">
        <v>0.86140000000000005</v>
      </c>
      <c r="G239" s="3108">
        <v>0.86140000000000005</v>
      </c>
      <c r="H239" s="3108">
        <v>0.86140000000000005</v>
      </c>
      <c r="I239" s="3108">
        <v>0.69989999999999997</v>
      </c>
      <c r="J239" s="3108">
        <v>0.69989999999999997</v>
      </c>
      <c r="K239" s="3108">
        <v>0.69989999999999997</v>
      </c>
      <c r="L239" s="3108">
        <v>0.69989999999999997</v>
      </c>
      <c r="M239" s="3109">
        <v>0.69989999999999997</v>
      </c>
    </row>
    <row r="240" spans="1:13">
      <c r="A240" s="3107">
        <v>6.3</v>
      </c>
      <c r="B240" s="3108">
        <v>0.88349999999999995</v>
      </c>
      <c r="C240" s="3108">
        <v>0.88349999999999995</v>
      </c>
      <c r="D240" s="3108">
        <v>0.85919999999999996</v>
      </c>
      <c r="E240" s="3108">
        <v>0.85919999999999996</v>
      </c>
      <c r="F240" s="3108">
        <v>0.85919999999999996</v>
      </c>
      <c r="G240" s="3108">
        <v>0.85919999999999996</v>
      </c>
      <c r="H240" s="3108">
        <v>0.85919999999999996</v>
      </c>
      <c r="I240" s="3108">
        <v>0.69710000000000005</v>
      </c>
      <c r="J240" s="3108">
        <v>0.69710000000000005</v>
      </c>
      <c r="K240" s="3108">
        <v>0.69710000000000005</v>
      </c>
      <c r="L240" s="3108">
        <v>0.69710000000000005</v>
      </c>
      <c r="M240" s="3109">
        <v>0.69710000000000005</v>
      </c>
    </row>
    <row r="241" spans="1:13">
      <c r="A241" s="3107">
        <v>6.4</v>
      </c>
      <c r="B241" s="3108">
        <v>0.88180000000000003</v>
      </c>
      <c r="C241" s="3108">
        <v>0.88180000000000003</v>
      </c>
      <c r="D241" s="3108">
        <v>0.85699999999999998</v>
      </c>
      <c r="E241" s="3108">
        <v>0.85699999999999998</v>
      </c>
      <c r="F241" s="3108">
        <v>0.85699999999999998</v>
      </c>
      <c r="G241" s="3108">
        <v>0.85699999999999998</v>
      </c>
      <c r="H241" s="3108">
        <v>0.85699999999999998</v>
      </c>
      <c r="I241" s="3108">
        <v>0.69430000000000003</v>
      </c>
      <c r="J241" s="3108">
        <v>0.69430000000000003</v>
      </c>
      <c r="K241" s="3108">
        <v>0.69430000000000003</v>
      </c>
      <c r="L241" s="3108">
        <v>0.69430000000000003</v>
      </c>
      <c r="M241" s="3109">
        <v>0.69430000000000003</v>
      </c>
    </row>
    <row r="242" spans="1:13">
      <c r="A242" s="3107">
        <v>6.5</v>
      </c>
      <c r="B242" s="3108">
        <v>0.88009999999999999</v>
      </c>
      <c r="C242" s="3108">
        <v>0.88009999999999999</v>
      </c>
      <c r="D242" s="3108">
        <v>0.85489999999999999</v>
      </c>
      <c r="E242" s="3108">
        <v>0.85489999999999999</v>
      </c>
      <c r="F242" s="3108">
        <v>0.85489999999999999</v>
      </c>
      <c r="G242" s="3108">
        <v>0.85489999999999999</v>
      </c>
      <c r="H242" s="3108">
        <v>0.85489999999999999</v>
      </c>
      <c r="I242" s="3108">
        <v>0.69159999999999999</v>
      </c>
      <c r="J242" s="3108">
        <v>0.69159999999999999</v>
      </c>
      <c r="K242" s="3108">
        <v>0.69159999999999999</v>
      </c>
      <c r="L242" s="3108">
        <v>0.69159999999999999</v>
      </c>
      <c r="M242" s="3109">
        <v>0.69159999999999999</v>
      </c>
    </row>
    <row r="243" spans="1:13">
      <c r="A243" s="3107">
        <v>6.6</v>
      </c>
      <c r="B243" s="3108">
        <v>0.87839999999999996</v>
      </c>
      <c r="C243" s="3108">
        <v>0.87839999999999996</v>
      </c>
      <c r="D243" s="3108">
        <v>0.8528</v>
      </c>
      <c r="E243" s="3108">
        <v>0.8528</v>
      </c>
      <c r="F243" s="3108">
        <v>0.8528</v>
      </c>
      <c r="G243" s="3108">
        <v>0.8528</v>
      </c>
      <c r="H243" s="3108">
        <v>0.8528</v>
      </c>
      <c r="I243" s="3108">
        <v>0.68889999999999996</v>
      </c>
      <c r="J243" s="3108">
        <v>0.68889999999999996</v>
      </c>
      <c r="K243" s="3108">
        <v>0.68889999999999996</v>
      </c>
      <c r="L243" s="3108">
        <v>0.68889999999999996</v>
      </c>
      <c r="M243" s="3109">
        <v>0.68889999999999996</v>
      </c>
    </row>
    <row r="244" spans="1:13">
      <c r="A244" s="3107">
        <v>6.7</v>
      </c>
      <c r="B244" s="3108">
        <v>0.87670000000000003</v>
      </c>
      <c r="C244" s="3108">
        <v>0.87670000000000003</v>
      </c>
      <c r="D244" s="3108">
        <v>0.85070000000000001</v>
      </c>
      <c r="E244" s="3108">
        <v>0.85070000000000001</v>
      </c>
      <c r="F244" s="3108">
        <v>0.85070000000000001</v>
      </c>
      <c r="G244" s="3108">
        <v>0.85070000000000001</v>
      </c>
      <c r="H244" s="3108">
        <v>0.85070000000000001</v>
      </c>
      <c r="I244" s="3108">
        <v>0.68620000000000003</v>
      </c>
      <c r="J244" s="3108">
        <v>0.68620000000000003</v>
      </c>
      <c r="K244" s="3108">
        <v>0.68620000000000003</v>
      </c>
      <c r="L244" s="3108">
        <v>0.68620000000000003</v>
      </c>
      <c r="M244" s="3109">
        <v>0.68620000000000003</v>
      </c>
    </row>
    <row r="245" spans="1:13">
      <c r="A245" s="3107">
        <v>6.8</v>
      </c>
      <c r="B245" s="3108">
        <v>0.875</v>
      </c>
      <c r="C245" s="3108">
        <v>0.875</v>
      </c>
      <c r="D245" s="3108">
        <v>0.84860000000000002</v>
      </c>
      <c r="E245" s="3108">
        <v>0.84860000000000002</v>
      </c>
      <c r="F245" s="3108">
        <v>0.84860000000000002</v>
      </c>
      <c r="G245" s="3108">
        <v>0.84860000000000002</v>
      </c>
      <c r="H245" s="3108">
        <v>0.84860000000000002</v>
      </c>
      <c r="I245" s="3108">
        <v>0.6835</v>
      </c>
      <c r="J245" s="3108">
        <v>0.6835</v>
      </c>
      <c r="K245" s="3108">
        <v>0.6835</v>
      </c>
      <c r="L245" s="3108">
        <v>0.6835</v>
      </c>
      <c r="M245" s="3109">
        <v>0.6835</v>
      </c>
    </row>
    <row r="246" spans="1:13">
      <c r="A246" s="3107">
        <v>6.9</v>
      </c>
      <c r="B246" s="3108">
        <v>0.87329999999999997</v>
      </c>
      <c r="C246" s="3108">
        <v>0.87329999999999997</v>
      </c>
      <c r="D246" s="3108">
        <v>0.84650000000000003</v>
      </c>
      <c r="E246" s="3108">
        <v>0.84650000000000003</v>
      </c>
      <c r="F246" s="3108">
        <v>0.84650000000000003</v>
      </c>
      <c r="G246" s="3108">
        <v>0.84650000000000003</v>
      </c>
      <c r="H246" s="3108">
        <v>0.84650000000000003</v>
      </c>
      <c r="I246" s="3108">
        <v>0.68089999999999995</v>
      </c>
      <c r="J246" s="3108">
        <v>0.68089999999999995</v>
      </c>
      <c r="K246" s="3108">
        <v>0.68089999999999995</v>
      </c>
      <c r="L246" s="3108">
        <v>0.68089999999999995</v>
      </c>
      <c r="M246" s="3109">
        <v>0.68089999999999995</v>
      </c>
    </row>
    <row r="247" spans="1:13">
      <c r="A247" s="3107">
        <v>7</v>
      </c>
      <c r="B247" s="3108">
        <v>0.87170000000000003</v>
      </c>
      <c r="C247" s="3108">
        <v>0.87170000000000003</v>
      </c>
      <c r="D247" s="3108">
        <v>0.84450000000000003</v>
      </c>
      <c r="E247" s="3108">
        <v>0.84450000000000003</v>
      </c>
      <c r="F247" s="3108">
        <v>0.84450000000000003</v>
      </c>
      <c r="G247" s="3108">
        <v>0.84450000000000003</v>
      </c>
      <c r="H247" s="3108">
        <v>0.84450000000000003</v>
      </c>
      <c r="I247" s="3108">
        <v>0.67830000000000001</v>
      </c>
      <c r="J247" s="3108">
        <v>0.67830000000000001</v>
      </c>
      <c r="K247" s="3108">
        <v>0.67830000000000001</v>
      </c>
      <c r="L247" s="3108">
        <v>0.67830000000000001</v>
      </c>
      <c r="M247" s="3109">
        <v>0.67830000000000001</v>
      </c>
    </row>
    <row r="248" spans="1:13">
      <c r="A248" s="3107">
        <v>7.1</v>
      </c>
      <c r="B248" s="3108">
        <v>0.87009999999999998</v>
      </c>
      <c r="C248" s="3108">
        <v>0.87009999999999998</v>
      </c>
      <c r="D248" s="3108">
        <v>0.84250000000000003</v>
      </c>
      <c r="E248" s="3108">
        <v>0.84250000000000003</v>
      </c>
      <c r="F248" s="3108">
        <v>0.84250000000000003</v>
      </c>
      <c r="G248" s="3108">
        <v>0.84250000000000003</v>
      </c>
      <c r="H248" s="3108">
        <v>0.84250000000000003</v>
      </c>
      <c r="I248" s="3108">
        <v>0.67569999999999997</v>
      </c>
      <c r="J248" s="3108">
        <v>0.67569999999999997</v>
      </c>
      <c r="K248" s="3108">
        <v>0.67569999999999997</v>
      </c>
      <c r="L248" s="3108">
        <v>0.67569999999999997</v>
      </c>
      <c r="M248" s="3109">
        <v>0.67569999999999997</v>
      </c>
    </row>
    <row r="249" spans="1:13">
      <c r="A249" s="3107">
        <v>7.2</v>
      </c>
      <c r="B249" s="3108">
        <v>0.86850000000000005</v>
      </c>
      <c r="C249" s="3108">
        <v>0.86850000000000005</v>
      </c>
      <c r="D249" s="3108">
        <v>0.84050000000000002</v>
      </c>
      <c r="E249" s="3108">
        <v>0.84050000000000002</v>
      </c>
      <c r="F249" s="3108">
        <v>0.84050000000000002</v>
      </c>
      <c r="G249" s="3108">
        <v>0.84050000000000002</v>
      </c>
      <c r="H249" s="3108">
        <v>0.84050000000000002</v>
      </c>
      <c r="I249" s="3108">
        <v>0.67310000000000003</v>
      </c>
      <c r="J249" s="3108">
        <v>0.67310000000000003</v>
      </c>
      <c r="K249" s="3108">
        <v>0.67310000000000003</v>
      </c>
      <c r="L249" s="3108">
        <v>0.67310000000000003</v>
      </c>
      <c r="M249" s="3109">
        <v>0.67310000000000003</v>
      </c>
    </row>
    <row r="250" spans="1:13">
      <c r="A250" s="3107">
        <v>7.3</v>
      </c>
      <c r="B250" s="3108">
        <v>0.8669</v>
      </c>
      <c r="C250" s="3108">
        <v>0.8669</v>
      </c>
      <c r="D250" s="3108">
        <v>0.83850000000000002</v>
      </c>
      <c r="E250" s="3108">
        <v>0.83850000000000002</v>
      </c>
      <c r="F250" s="3108">
        <v>0.83850000000000002</v>
      </c>
      <c r="G250" s="3108">
        <v>0.83850000000000002</v>
      </c>
      <c r="H250" s="3108">
        <v>0.83850000000000002</v>
      </c>
      <c r="I250" s="3108">
        <v>0.67059999999999997</v>
      </c>
      <c r="J250" s="3108">
        <v>0.67059999999999997</v>
      </c>
      <c r="K250" s="3108">
        <v>0.67059999999999997</v>
      </c>
      <c r="L250" s="3108">
        <v>0.67059999999999997</v>
      </c>
      <c r="M250" s="3109">
        <v>0.67059999999999997</v>
      </c>
    </row>
    <row r="251" spans="1:13">
      <c r="A251" s="3107">
        <v>7.4</v>
      </c>
      <c r="B251" s="3108">
        <v>0.86529999999999996</v>
      </c>
      <c r="C251" s="3108">
        <v>0.86529999999999996</v>
      </c>
      <c r="D251" s="3108">
        <v>0.83650000000000002</v>
      </c>
      <c r="E251" s="3108">
        <v>0.83650000000000002</v>
      </c>
      <c r="F251" s="3108">
        <v>0.83650000000000002</v>
      </c>
      <c r="G251" s="3108">
        <v>0.83650000000000002</v>
      </c>
      <c r="H251" s="3108">
        <v>0.83650000000000002</v>
      </c>
      <c r="I251" s="3108">
        <v>0.66810000000000003</v>
      </c>
      <c r="J251" s="3108">
        <v>0.66810000000000003</v>
      </c>
      <c r="K251" s="3108">
        <v>0.66810000000000003</v>
      </c>
      <c r="L251" s="3108">
        <v>0.66810000000000003</v>
      </c>
      <c r="M251" s="3109">
        <v>0.66810000000000003</v>
      </c>
    </row>
    <row r="252" spans="1:13">
      <c r="A252" s="3107">
        <v>7.5</v>
      </c>
      <c r="B252" s="3108">
        <v>0.86370000000000002</v>
      </c>
      <c r="C252" s="3108">
        <v>0.86370000000000002</v>
      </c>
      <c r="D252" s="3108">
        <v>0.83460000000000001</v>
      </c>
      <c r="E252" s="3108">
        <v>0.83460000000000001</v>
      </c>
      <c r="F252" s="3108">
        <v>0.83460000000000001</v>
      </c>
      <c r="G252" s="3108">
        <v>0.83460000000000001</v>
      </c>
      <c r="H252" s="3108">
        <v>0.83460000000000001</v>
      </c>
      <c r="I252" s="3108">
        <v>0.66559999999999997</v>
      </c>
      <c r="J252" s="3108">
        <v>0.66559999999999997</v>
      </c>
      <c r="K252" s="3108">
        <v>0.66559999999999997</v>
      </c>
      <c r="L252" s="3108">
        <v>0.66559999999999997</v>
      </c>
      <c r="M252" s="3109">
        <v>0.66559999999999997</v>
      </c>
    </row>
    <row r="253" spans="1:13">
      <c r="A253" s="3107">
        <v>7.6</v>
      </c>
      <c r="B253" s="3108">
        <v>0.86219999999999997</v>
      </c>
      <c r="C253" s="3108">
        <v>0.86219999999999997</v>
      </c>
      <c r="D253" s="3108">
        <v>0.8327</v>
      </c>
      <c r="E253" s="3108">
        <v>0.8327</v>
      </c>
      <c r="F253" s="3108">
        <v>0.8327</v>
      </c>
      <c r="G253" s="3108">
        <v>0.8327</v>
      </c>
      <c r="H253" s="3108">
        <v>0.8327</v>
      </c>
      <c r="I253" s="3108">
        <v>0.66310000000000002</v>
      </c>
      <c r="J253" s="3108">
        <v>0.66310000000000002</v>
      </c>
      <c r="K253" s="3108">
        <v>0.66310000000000002</v>
      </c>
      <c r="L253" s="3108">
        <v>0.66310000000000002</v>
      </c>
      <c r="M253" s="3109">
        <v>0.66310000000000002</v>
      </c>
    </row>
    <row r="254" spans="1:13">
      <c r="A254" s="3107">
        <v>7.7</v>
      </c>
      <c r="B254" s="3108">
        <v>0.86070000000000002</v>
      </c>
      <c r="C254" s="3108">
        <v>0.86070000000000002</v>
      </c>
      <c r="D254" s="3108">
        <v>0.83079999999999998</v>
      </c>
      <c r="E254" s="3108">
        <v>0.83079999999999998</v>
      </c>
      <c r="F254" s="3108">
        <v>0.83079999999999998</v>
      </c>
      <c r="G254" s="3108">
        <v>0.83079999999999998</v>
      </c>
      <c r="H254" s="3108">
        <v>0.83079999999999998</v>
      </c>
      <c r="I254" s="3108">
        <v>0.66069999999999995</v>
      </c>
      <c r="J254" s="3108">
        <v>0.66069999999999995</v>
      </c>
      <c r="K254" s="3108">
        <v>0.66069999999999995</v>
      </c>
      <c r="L254" s="3108">
        <v>0.66069999999999995</v>
      </c>
      <c r="M254" s="3109">
        <v>0.66069999999999995</v>
      </c>
    </row>
    <row r="255" spans="1:13">
      <c r="A255" s="3107">
        <v>7.8</v>
      </c>
      <c r="B255" s="3108">
        <v>0.85919999999999996</v>
      </c>
      <c r="C255" s="3108">
        <v>0.85919999999999996</v>
      </c>
      <c r="D255" s="3108">
        <v>0.82889999999999997</v>
      </c>
      <c r="E255" s="3108">
        <v>0.82889999999999997</v>
      </c>
      <c r="F255" s="3108">
        <v>0.82889999999999997</v>
      </c>
      <c r="G255" s="3108">
        <v>0.82889999999999997</v>
      </c>
      <c r="H255" s="3108">
        <v>0.82889999999999997</v>
      </c>
      <c r="I255" s="3108">
        <v>0.6583</v>
      </c>
      <c r="J255" s="3108">
        <v>0.6583</v>
      </c>
      <c r="K255" s="3108">
        <v>0.6583</v>
      </c>
      <c r="L255" s="3108">
        <v>0.6583</v>
      </c>
      <c r="M255" s="3109">
        <v>0.6583</v>
      </c>
    </row>
    <row r="256" spans="1:13">
      <c r="A256" s="3107">
        <v>7.9</v>
      </c>
      <c r="B256" s="3108">
        <v>0.85770000000000002</v>
      </c>
      <c r="C256" s="3108">
        <v>0.85770000000000002</v>
      </c>
      <c r="D256" s="3108">
        <v>0.82699999999999996</v>
      </c>
      <c r="E256" s="3108">
        <v>0.82699999999999996</v>
      </c>
      <c r="F256" s="3108">
        <v>0.82699999999999996</v>
      </c>
      <c r="G256" s="3108">
        <v>0.82699999999999996</v>
      </c>
      <c r="H256" s="3108">
        <v>0.82699999999999996</v>
      </c>
      <c r="I256" s="3108">
        <v>0.65590000000000004</v>
      </c>
      <c r="J256" s="3108">
        <v>0.65590000000000004</v>
      </c>
      <c r="K256" s="3108">
        <v>0.65590000000000004</v>
      </c>
      <c r="L256" s="3108">
        <v>0.65590000000000004</v>
      </c>
      <c r="M256" s="3109">
        <v>0.65590000000000004</v>
      </c>
    </row>
    <row r="257" spans="1:13">
      <c r="A257" s="3107">
        <v>8</v>
      </c>
      <c r="B257" s="3108">
        <v>0.85619999999999996</v>
      </c>
      <c r="C257" s="3108">
        <v>0.85619999999999996</v>
      </c>
      <c r="D257" s="3108">
        <v>0.82509999999999994</v>
      </c>
      <c r="E257" s="3108">
        <v>0.82509999999999994</v>
      </c>
      <c r="F257" s="3108">
        <v>0.82509999999999994</v>
      </c>
      <c r="G257" s="3108">
        <v>0.82509999999999994</v>
      </c>
      <c r="H257" s="3108">
        <v>0.82509999999999994</v>
      </c>
      <c r="I257" s="3108">
        <v>0.65349999999999997</v>
      </c>
      <c r="J257" s="3108">
        <v>0.65349999999999997</v>
      </c>
      <c r="K257" s="3108">
        <v>0.65349999999999997</v>
      </c>
      <c r="L257" s="3108">
        <v>0.65349999999999997</v>
      </c>
      <c r="M257" s="3109">
        <v>0.65349999999999997</v>
      </c>
    </row>
    <row r="258" spans="1:13">
      <c r="A258" s="3107">
        <v>8.1</v>
      </c>
      <c r="B258" s="3108">
        <v>0.85470000000000002</v>
      </c>
      <c r="C258" s="3108">
        <v>0.85470000000000002</v>
      </c>
      <c r="D258" s="3108">
        <v>0.82330000000000003</v>
      </c>
      <c r="E258" s="3108">
        <v>0.82330000000000003</v>
      </c>
      <c r="F258" s="3108">
        <v>0.82330000000000003</v>
      </c>
      <c r="G258" s="3108">
        <v>0.82330000000000003</v>
      </c>
      <c r="H258" s="3108">
        <v>0.82330000000000003</v>
      </c>
      <c r="I258" s="3108">
        <v>0.6512</v>
      </c>
      <c r="J258" s="3108">
        <v>0.6512</v>
      </c>
      <c r="K258" s="3108">
        <v>0.6512</v>
      </c>
      <c r="L258" s="3108">
        <v>0.6512</v>
      </c>
      <c r="M258" s="3109">
        <v>0.6512</v>
      </c>
    </row>
    <row r="259" spans="1:13">
      <c r="A259" s="3107">
        <v>8.1999999999999993</v>
      </c>
      <c r="B259" s="3108">
        <v>0.85329999999999995</v>
      </c>
      <c r="C259" s="3108">
        <v>0.85329999999999995</v>
      </c>
      <c r="D259" s="3108">
        <v>0.82150000000000001</v>
      </c>
      <c r="E259" s="3108">
        <v>0.82150000000000001</v>
      </c>
      <c r="F259" s="3108">
        <v>0.82150000000000001</v>
      </c>
      <c r="G259" s="3108">
        <v>0.82150000000000001</v>
      </c>
      <c r="H259" s="3108">
        <v>0.82150000000000001</v>
      </c>
      <c r="I259" s="3108">
        <v>0.64890000000000003</v>
      </c>
      <c r="J259" s="3108">
        <v>0.64890000000000003</v>
      </c>
      <c r="K259" s="3108">
        <v>0.64890000000000003</v>
      </c>
      <c r="L259" s="3108">
        <v>0.64890000000000003</v>
      </c>
      <c r="M259" s="3109">
        <v>0.64890000000000003</v>
      </c>
    </row>
    <row r="260" spans="1:13">
      <c r="A260" s="3107">
        <v>8.3000000000000007</v>
      </c>
      <c r="B260" s="3108">
        <v>0.85189999999999999</v>
      </c>
      <c r="C260" s="3108">
        <v>0.85189999999999999</v>
      </c>
      <c r="D260" s="3108">
        <v>0.81969999999999998</v>
      </c>
      <c r="E260" s="3108">
        <v>0.81969999999999998</v>
      </c>
      <c r="F260" s="3108">
        <v>0.81969999999999998</v>
      </c>
      <c r="G260" s="3108">
        <v>0.81969999999999998</v>
      </c>
      <c r="H260" s="3108">
        <v>0.81969999999999998</v>
      </c>
      <c r="I260" s="3108">
        <v>0.64659999999999995</v>
      </c>
      <c r="J260" s="3108">
        <v>0.64659999999999995</v>
      </c>
      <c r="K260" s="3108">
        <v>0.64659999999999995</v>
      </c>
      <c r="L260" s="3108">
        <v>0.64659999999999995</v>
      </c>
      <c r="M260" s="3109">
        <v>0.64659999999999995</v>
      </c>
    </row>
    <row r="261" spans="1:13">
      <c r="A261" s="3107">
        <v>8.4</v>
      </c>
      <c r="B261" s="3108">
        <v>0.85050000000000003</v>
      </c>
      <c r="C261" s="3108">
        <v>0.85050000000000003</v>
      </c>
      <c r="D261" s="3108">
        <v>0.81789999999999996</v>
      </c>
      <c r="E261" s="3108">
        <v>0.81789999999999996</v>
      </c>
      <c r="F261" s="3108">
        <v>0.81789999999999996</v>
      </c>
      <c r="G261" s="3108">
        <v>0.81789999999999996</v>
      </c>
      <c r="H261" s="3108">
        <v>0.81789999999999996</v>
      </c>
      <c r="I261" s="3108">
        <v>0.64429999999999998</v>
      </c>
      <c r="J261" s="3108">
        <v>0.64429999999999998</v>
      </c>
      <c r="K261" s="3108">
        <v>0.64429999999999998</v>
      </c>
      <c r="L261" s="3108">
        <v>0.64429999999999998</v>
      </c>
      <c r="M261" s="3109">
        <v>0.64429999999999998</v>
      </c>
    </row>
    <row r="262" spans="1:13">
      <c r="A262" s="3107">
        <v>8.5</v>
      </c>
      <c r="B262" s="3108">
        <v>0.84909999999999997</v>
      </c>
      <c r="C262" s="3108">
        <v>0.84909999999999997</v>
      </c>
      <c r="D262" s="3108">
        <v>0.81610000000000005</v>
      </c>
      <c r="E262" s="3108">
        <v>0.81610000000000005</v>
      </c>
      <c r="F262" s="3108">
        <v>0.81610000000000005</v>
      </c>
      <c r="G262" s="3108">
        <v>0.81610000000000005</v>
      </c>
      <c r="H262" s="3108">
        <v>0.81610000000000005</v>
      </c>
      <c r="I262" s="3108">
        <v>0.6421</v>
      </c>
      <c r="J262" s="3108">
        <v>0.6421</v>
      </c>
      <c r="K262" s="3108">
        <v>0.6421</v>
      </c>
      <c r="L262" s="3108">
        <v>0.6421</v>
      </c>
      <c r="M262" s="3109">
        <v>0.6421</v>
      </c>
    </row>
    <row r="263" spans="1:13">
      <c r="A263" s="3107">
        <v>8.6</v>
      </c>
      <c r="B263" s="3108">
        <v>0.84770000000000001</v>
      </c>
      <c r="C263" s="3108">
        <v>0.84770000000000001</v>
      </c>
      <c r="D263" s="3108">
        <v>0.81440000000000001</v>
      </c>
      <c r="E263" s="3108">
        <v>0.81440000000000001</v>
      </c>
      <c r="F263" s="3108">
        <v>0.81440000000000001</v>
      </c>
      <c r="G263" s="3108">
        <v>0.81440000000000001</v>
      </c>
      <c r="H263" s="3108">
        <v>0.81440000000000001</v>
      </c>
      <c r="I263" s="3108">
        <v>0.63990000000000002</v>
      </c>
      <c r="J263" s="3108">
        <v>0.63990000000000002</v>
      </c>
      <c r="K263" s="3108">
        <v>0.63990000000000002</v>
      </c>
      <c r="L263" s="3108">
        <v>0.63990000000000002</v>
      </c>
      <c r="M263" s="3109">
        <v>0.63990000000000002</v>
      </c>
    </row>
    <row r="264" spans="1:13">
      <c r="A264" s="3107">
        <v>8.6999999999999993</v>
      </c>
      <c r="B264" s="3108">
        <v>0.84630000000000005</v>
      </c>
      <c r="C264" s="3108">
        <v>0.84630000000000005</v>
      </c>
      <c r="D264" s="3108">
        <v>0.81269999999999998</v>
      </c>
      <c r="E264" s="3108">
        <v>0.81269999999999998</v>
      </c>
      <c r="F264" s="3108">
        <v>0.81269999999999998</v>
      </c>
      <c r="G264" s="3108">
        <v>0.81269999999999998</v>
      </c>
      <c r="H264" s="3108">
        <v>0.81269999999999998</v>
      </c>
      <c r="I264" s="3108">
        <v>0.63770000000000004</v>
      </c>
      <c r="J264" s="3108">
        <v>0.63770000000000004</v>
      </c>
      <c r="K264" s="3108">
        <v>0.63770000000000004</v>
      </c>
      <c r="L264" s="3108">
        <v>0.63770000000000004</v>
      </c>
      <c r="M264" s="3109">
        <v>0.63770000000000004</v>
      </c>
    </row>
    <row r="265" spans="1:13">
      <c r="A265" s="3107">
        <v>8.8000000000000007</v>
      </c>
      <c r="B265" s="3108">
        <v>0.84489999999999998</v>
      </c>
      <c r="C265" s="3108">
        <v>0.84489999999999998</v>
      </c>
      <c r="D265" s="3108">
        <v>0.81100000000000005</v>
      </c>
      <c r="E265" s="3108">
        <v>0.81100000000000005</v>
      </c>
      <c r="F265" s="3108">
        <v>0.81100000000000005</v>
      </c>
      <c r="G265" s="3108">
        <v>0.81100000000000005</v>
      </c>
      <c r="H265" s="3108">
        <v>0.81100000000000005</v>
      </c>
      <c r="I265" s="3108">
        <v>0.63549999999999995</v>
      </c>
      <c r="J265" s="3108">
        <v>0.63549999999999995</v>
      </c>
      <c r="K265" s="3108">
        <v>0.63549999999999995</v>
      </c>
      <c r="L265" s="3108">
        <v>0.63549999999999995</v>
      </c>
      <c r="M265" s="3109">
        <v>0.63549999999999995</v>
      </c>
    </row>
    <row r="266" spans="1:13">
      <c r="A266" s="3107">
        <v>8.9</v>
      </c>
      <c r="B266" s="3108">
        <v>0.84360000000000002</v>
      </c>
      <c r="C266" s="3108">
        <v>0.84360000000000002</v>
      </c>
      <c r="D266" s="3108">
        <v>0.80930000000000002</v>
      </c>
      <c r="E266" s="3108">
        <v>0.80930000000000002</v>
      </c>
      <c r="F266" s="3108">
        <v>0.80930000000000002</v>
      </c>
      <c r="G266" s="3108">
        <v>0.80930000000000002</v>
      </c>
      <c r="H266" s="3108">
        <v>0.80930000000000002</v>
      </c>
      <c r="I266" s="3108">
        <v>0.63339999999999996</v>
      </c>
      <c r="J266" s="3108">
        <v>0.63339999999999996</v>
      </c>
      <c r="K266" s="3108">
        <v>0.63339999999999996</v>
      </c>
      <c r="L266" s="3108">
        <v>0.63339999999999996</v>
      </c>
      <c r="M266" s="3109">
        <v>0.63339999999999996</v>
      </c>
    </row>
    <row r="267" spans="1:13">
      <c r="A267" s="3110">
        <v>9</v>
      </c>
      <c r="B267" s="3108">
        <v>0.84230000000000005</v>
      </c>
      <c r="C267" s="3108">
        <v>0.84230000000000005</v>
      </c>
      <c r="D267" s="3108">
        <v>0.80759999999999998</v>
      </c>
      <c r="E267" s="3108">
        <v>0.80759999999999998</v>
      </c>
      <c r="F267" s="3108">
        <v>0.80759999999999998</v>
      </c>
      <c r="G267" s="3108">
        <v>0.80759999999999998</v>
      </c>
      <c r="H267" s="3108">
        <v>0.80759999999999998</v>
      </c>
      <c r="I267" s="3108">
        <v>0.63129999999999997</v>
      </c>
      <c r="J267" s="3108">
        <v>0.63129999999999997</v>
      </c>
      <c r="K267" s="3108">
        <v>0.63129999999999997</v>
      </c>
      <c r="L267" s="3108">
        <v>0.63129999999999997</v>
      </c>
      <c r="M267" s="3109">
        <v>0.63129999999999997</v>
      </c>
    </row>
    <row r="268" spans="1:13">
      <c r="A268" s="3110">
        <v>9.1</v>
      </c>
      <c r="B268" s="3108">
        <v>0.84099999999999997</v>
      </c>
      <c r="C268" s="3108">
        <v>0.84099999999999997</v>
      </c>
      <c r="D268" s="3108">
        <v>0.80600000000000005</v>
      </c>
      <c r="E268" s="3108">
        <v>0.80600000000000005</v>
      </c>
      <c r="F268" s="3108">
        <v>0.80600000000000005</v>
      </c>
      <c r="G268" s="3108">
        <v>0.80600000000000005</v>
      </c>
      <c r="H268" s="3108">
        <v>0.80600000000000005</v>
      </c>
      <c r="I268" s="3108">
        <v>0.62919999999999998</v>
      </c>
      <c r="J268" s="3108">
        <v>0.62919999999999998</v>
      </c>
      <c r="K268" s="3108">
        <v>0.62919999999999998</v>
      </c>
      <c r="L268" s="3108">
        <v>0.62919999999999998</v>
      </c>
      <c r="M268" s="3109">
        <v>0.62919999999999998</v>
      </c>
    </row>
    <row r="269" spans="1:13">
      <c r="A269" s="3110">
        <v>9.1999999999999993</v>
      </c>
      <c r="B269" s="3108">
        <v>0.8397</v>
      </c>
      <c r="C269" s="3108">
        <v>0.8397</v>
      </c>
      <c r="D269" s="3108">
        <v>0.8044</v>
      </c>
      <c r="E269" s="3108">
        <v>0.8044</v>
      </c>
      <c r="F269" s="3108">
        <v>0.8044</v>
      </c>
      <c r="G269" s="3108">
        <v>0.8044</v>
      </c>
      <c r="H269" s="3108">
        <v>0.8044</v>
      </c>
      <c r="I269" s="3108">
        <v>0.62709999999999999</v>
      </c>
      <c r="J269" s="3108">
        <v>0.62709999999999999</v>
      </c>
      <c r="K269" s="3108">
        <v>0.62709999999999999</v>
      </c>
      <c r="L269" s="3108">
        <v>0.62709999999999999</v>
      </c>
      <c r="M269" s="3109">
        <v>0.62709999999999999</v>
      </c>
    </row>
    <row r="270" spans="1:13">
      <c r="A270" s="3110">
        <v>9.3000000000000007</v>
      </c>
      <c r="B270" s="3108">
        <v>0.83840000000000003</v>
      </c>
      <c r="C270" s="3108">
        <v>0.83840000000000003</v>
      </c>
      <c r="D270" s="3108">
        <v>0.80279999999999996</v>
      </c>
      <c r="E270" s="3108">
        <v>0.80279999999999996</v>
      </c>
      <c r="F270" s="3108">
        <v>0.80279999999999996</v>
      </c>
      <c r="G270" s="3108">
        <v>0.80279999999999996</v>
      </c>
      <c r="H270" s="3108">
        <v>0.80279999999999996</v>
      </c>
      <c r="I270" s="3108">
        <v>0.62509999999999999</v>
      </c>
      <c r="J270" s="3108">
        <v>0.62509999999999999</v>
      </c>
      <c r="K270" s="3108">
        <v>0.62509999999999999</v>
      </c>
      <c r="L270" s="3108">
        <v>0.62509999999999999</v>
      </c>
      <c r="M270" s="3109">
        <v>0.62509999999999999</v>
      </c>
    </row>
    <row r="271" spans="1:13">
      <c r="A271" s="3110">
        <v>9.4</v>
      </c>
      <c r="B271" s="3108">
        <v>0.83709999999999996</v>
      </c>
      <c r="C271" s="3108">
        <v>0.83709999999999996</v>
      </c>
      <c r="D271" s="3108">
        <v>0.80120000000000002</v>
      </c>
      <c r="E271" s="3108">
        <v>0.80120000000000002</v>
      </c>
      <c r="F271" s="3108">
        <v>0.80120000000000002</v>
      </c>
      <c r="G271" s="3108">
        <v>0.80120000000000002</v>
      </c>
      <c r="H271" s="3108">
        <v>0.80120000000000002</v>
      </c>
      <c r="I271" s="3108">
        <v>0.62309999999999999</v>
      </c>
      <c r="J271" s="3108">
        <v>0.62309999999999999</v>
      </c>
      <c r="K271" s="3108">
        <v>0.62309999999999999</v>
      </c>
      <c r="L271" s="3108">
        <v>0.62309999999999999</v>
      </c>
      <c r="M271" s="3109">
        <v>0.62309999999999999</v>
      </c>
    </row>
    <row r="272" spans="1:13">
      <c r="A272" s="3110">
        <v>9.5</v>
      </c>
      <c r="B272" s="3108">
        <v>0.83579999999999999</v>
      </c>
      <c r="C272" s="3108">
        <v>0.83579999999999999</v>
      </c>
      <c r="D272" s="3108">
        <v>0.79959999999999998</v>
      </c>
      <c r="E272" s="3108">
        <v>0.79959999999999998</v>
      </c>
      <c r="F272" s="3108">
        <v>0.79959999999999998</v>
      </c>
      <c r="G272" s="3108">
        <v>0.79959999999999998</v>
      </c>
      <c r="H272" s="3108">
        <v>0.79959999999999998</v>
      </c>
      <c r="I272" s="3108">
        <v>0.62109999999999999</v>
      </c>
      <c r="J272" s="3108">
        <v>0.62109999999999999</v>
      </c>
      <c r="K272" s="3108">
        <v>0.62109999999999999</v>
      </c>
      <c r="L272" s="3108">
        <v>0.62109999999999999</v>
      </c>
      <c r="M272" s="3109">
        <v>0.62109999999999999</v>
      </c>
    </row>
    <row r="273" spans="1:21">
      <c r="A273" s="3110">
        <v>9.6</v>
      </c>
      <c r="B273" s="3108">
        <v>0.83460000000000001</v>
      </c>
      <c r="C273" s="3108">
        <v>0.83460000000000001</v>
      </c>
      <c r="D273" s="3108">
        <v>0.79800000000000004</v>
      </c>
      <c r="E273" s="3108">
        <v>0.79800000000000004</v>
      </c>
      <c r="F273" s="3108">
        <v>0.79800000000000004</v>
      </c>
      <c r="G273" s="3108">
        <v>0.79800000000000004</v>
      </c>
      <c r="H273" s="3108">
        <v>0.79800000000000004</v>
      </c>
      <c r="I273" s="3108">
        <v>0.61909999999999998</v>
      </c>
      <c r="J273" s="3108">
        <v>0.61909999999999998</v>
      </c>
      <c r="K273" s="3108">
        <v>0.61909999999999998</v>
      </c>
      <c r="L273" s="3108">
        <v>0.61909999999999998</v>
      </c>
      <c r="M273" s="3109">
        <v>0.61909999999999998</v>
      </c>
    </row>
    <row r="274" spans="1:21">
      <c r="A274" s="3110">
        <v>9.6999999999999993</v>
      </c>
      <c r="B274" s="3108">
        <v>0.83340000000000003</v>
      </c>
      <c r="C274" s="3108">
        <v>0.83340000000000003</v>
      </c>
      <c r="D274" s="3108">
        <v>0.79649999999999999</v>
      </c>
      <c r="E274" s="3108">
        <v>0.79649999999999999</v>
      </c>
      <c r="F274" s="3108">
        <v>0.79649999999999999</v>
      </c>
      <c r="G274" s="3108">
        <v>0.79649999999999999</v>
      </c>
      <c r="H274" s="3108">
        <v>0.79649999999999999</v>
      </c>
      <c r="I274" s="3108">
        <v>0.61719999999999997</v>
      </c>
      <c r="J274" s="3108">
        <v>0.61719999999999997</v>
      </c>
      <c r="K274" s="3108">
        <v>0.61719999999999997</v>
      </c>
      <c r="L274" s="3108">
        <v>0.61719999999999997</v>
      </c>
      <c r="M274" s="3109">
        <v>0.61719999999999997</v>
      </c>
    </row>
    <row r="275" spans="1:21">
      <c r="A275" s="3110">
        <v>9.8000000000000007</v>
      </c>
      <c r="B275" s="3108">
        <v>0.83220000000000005</v>
      </c>
      <c r="C275" s="3108">
        <v>0.83220000000000005</v>
      </c>
      <c r="D275" s="3108">
        <v>0.79500000000000004</v>
      </c>
      <c r="E275" s="3108">
        <v>0.79500000000000004</v>
      </c>
      <c r="F275" s="3108">
        <v>0.79500000000000004</v>
      </c>
      <c r="G275" s="3108">
        <v>0.79500000000000004</v>
      </c>
      <c r="H275" s="3108">
        <v>0.79500000000000004</v>
      </c>
      <c r="I275" s="3108">
        <v>0.61529999999999996</v>
      </c>
      <c r="J275" s="3108">
        <v>0.61529999999999996</v>
      </c>
      <c r="K275" s="3108">
        <v>0.61529999999999996</v>
      </c>
      <c r="L275" s="3108">
        <v>0.61529999999999996</v>
      </c>
      <c r="M275" s="3109">
        <v>0.61529999999999996</v>
      </c>
    </row>
    <row r="276" spans="1:21" ht="14.25" thickBot="1">
      <c r="A276" s="3111">
        <v>9.9</v>
      </c>
      <c r="B276" s="3112">
        <v>0.83099999999999996</v>
      </c>
      <c r="C276" s="3112">
        <v>0.83099999999999996</v>
      </c>
      <c r="D276" s="3112">
        <v>0.79349999999999998</v>
      </c>
      <c r="E276" s="3112">
        <v>0.79349999999999998</v>
      </c>
      <c r="F276" s="3112">
        <v>0.79349999999999998</v>
      </c>
      <c r="G276" s="3112">
        <v>0.79349999999999998</v>
      </c>
      <c r="H276" s="3112">
        <v>0.79349999999999998</v>
      </c>
      <c r="I276" s="3112">
        <v>0.61339999999999995</v>
      </c>
      <c r="J276" s="3112">
        <v>0.61339999999999995</v>
      </c>
      <c r="K276" s="3112">
        <v>0.61339999999999995</v>
      </c>
      <c r="L276" s="3112">
        <v>0.61339999999999995</v>
      </c>
      <c r="M276" s="3113">
        <v>0.61339999999999995</v>
      </c>
    </row>
    <row r="277" spans="1:21" ht="15" thickBot="1">
      <c r="A277" s="3101" t="s">
        <v>2778</v>
      </c>
      <c r="B277" s="3101"/>
      <c r="C277" s="3101"/>
      <c r="D277" s="3101"/>
      <c r="E277" s="3101"/>
      <c r="F277" s="3101"/>
      <c r="G277" s="3101"/>
      <c r="H277" s="3101"/>
      <c r="I277" s="3101"/>
      <c r="J277" s="3101"/>
      <c r="K277" s="3101"/>
      <c r="L277" s="3101"/>
      <c r="M277" s="3101"/>
    </row>
    <row r="278" spans="1:21">
      <c r="A278" s="3102" t="s">
        <v>2775</v>
      </c>
      <c r="B278" s="3103" t="s">
        <v>2571</v>
      </c>
      <c r="C278" s="3103" t="s">
        <v>2572</v>
      </c>
      <c r="D278" s="3103" t="s">
        <v>2573</v>
      </c>
      <c r="E278" s="3103" t="s">
        <v>2574</v>
      </c>
      <c r="F278" s="3103" t="s">
        <v>2575</v>
      </c>
      <c r="G278" s="3103" t="s">
        <v>2576</v>
      </c>
      <c r="H278" s="3104" t="s">
        <v>2577</v>
      </c>
      <c r="I278" s="3104" t="s">
        <v>2578</v>
      </c>
      <c r="J278" s="3105" t="s">
        <v>2579</v>
      </c>
      <c r="K278" s="3105" t="s">
        <v>2580</v>
      </c>
      <c r="L278" s="3105" t="s">
        <v>2581</v>
      </c>
      <c r="M278" s="3106" t="s">
        <v>2582</v>
      </c>
      <c r="Q278" s="3116" t="s">
        <v>2780</v>
      </c>
      <c r="R278" s="3116" t="s">
        <v>2781</v>
      </c>
      <c r="S278" s="3116" t="s">
        <v>2784</v>
      </c>
      <c r="T278" s="3116" t="s">
        <v>2785</v>
      </c>
      <c r="U278" s="3116" t="s">
        <v>2783</v>
      </c>
    </row>
    <row r="279" spans="1:21">
      <c r="A279" s="3107">
        <v>1</v>
      </c>
      <c r="B279" s="3108">
        <v>1.1055999999999999</v>
      </c>
      <c r="C279" s="3108">
        <v>1.1055999999999999</v>
      </c>
      <c r="D279" s="3108">
        <v>1.1220000000000001</v>
      </c>
      <c r="E279" s="3108">
        <v>1.1220000000000001</v>
      </c>
      <c r="F279" s="3108">
        <v>1.1220000000000001</v>
      </c>
      <c r="G279" s="3108">
        <v>1.0583</v>
      </c>
      <c r="H279" s="3108">
        <v>1.0583</v>
      </c>
      <c r="I279" s="3108">
        <v>1</v>
      </c>
      <c r="J279" s="3108">
        <v>1</v>
      </c>
      <c r="K279" s="3108">
        <v>1</v>
      </c>
      <c r="L279" s="3108">
        <v>1</v>
      </c>
      <c r="M279" s="3109">
        <v>1</v>
      </c>
      <c r="Q279" s="3116">
        <v>10</v>
      </c>
      <c r="R279" s="3116">
        <f>ROUND(0.7836-0.012*Q279,4)</f>
        <v>0.66359999999999997</v>
      </c>
      <c r="S279" s="3116">
        <f>ROUND(0.753-0.015*Q279,4)</f>
        <v>0.60299999999999998</v>
      </c>
      <c r="T279" s="3116">
        <f>ROUND(0.6612-0.018*Q279,4)</f>
        <v>0.48120000000000002</v>
      </c>
      <c r="U279" s="3116">
        <f>ROUND(0.5905-0.019*R279,4)</f>
        <v>0.57789999999999997</v>
      </c>
    </row>
    <row r="280" spans="1:21">
      <c r="A280" s="3107">
        <v>1.1000000000000001</v>
      </c>
      <c r="B280" s="3108">
        <v>1.0820000000000001</v>
      </c>
      <c r="C280" s="3108">
        <v>1.0820000000000001</v>
      </c>
      <c r="D280" s="3108">
        <v>1.0948</v>
      </c>
      <c r="E280" s="3108">
        <v>1.0948</v>
      </c>
      <c r="F280" s="3108">
        <v>1.0948</v>
      </c>
      <c r="G280" s="3108">
        <v>1.0284</v>
      </c>
      <c r="H280" s="3108">
        <v>1.0284</v>
      </c>
      <c r="I280" s="3108">
        <v>0.96860000000000002</v>
      </c>
      <c r="J280" s="3108">
        <v>0.96860000000000002</v>
      </c>
      <c r="K280" s="3108">
        <v>0.96860000000000002</v>
      </c>
      <c r="L280" s="3108">
        <v>0.96860000000000002</v>
      </c>
      <c r="M280" s="3109">
        <v>0.96860000000000002</v>
      </c>
    </row>
    <row r="281" spans="1:21">
      <c r="A281" s="3107">
        <v>1.2</v>
      </c>
      <c r="B281" s="3108">
        <v>1.0598000000000001</v>
      </c>
      <c r="C281" s="3108">
        <v>1.0598000000000001</v>
      </c>
      <c r="D281" s="3108">
        <v>1.0690999999999999</v>
      </c>
      <c r="E281" s="3108">
        <v>1.0690999999999999</v>
      </c>
      <c r="F281" s="3108">
        <v>1.0690999999999999</v>
      </c>
      <c r="G281" s="3108">
        <v>1</v>
      </c>
      <c r="H281" s="3108">
        <v>1</v>
      </c>
      <c r="I281" s="3108">
        <v>0.93879999999999997</v>
      </c>
      <c r="J281" s="3108">
        <v>0.93879999999999997</v>
      </c>
      <c r="K281" s="3108">
        <v>0.93879999999999997</v>
      </c>
      <c r="L281" s="3108">
        <v>0.93879999999999997</v>
      </c>
      <c r="M281" s="3109">
        <v>0.93879999999999997</v>
      </c>
    </row>
    <row r="282" spans="1:21">
      <c r="A282" s="3107">
        <v>1.3</v>
      </c>
      <c r="B282" s="3108">
        <v>1.0387</v>
      </c>
      <c r="C282" s="3108">
        <v>1.0387</v>
      </c>
      <c r="D282" s="3108">
        <v>1.0447</v>
      </c>
      <c r="E282" s="3108">
        <v>1.0447</v>
      </c>
      <c r="F282" s="3108">
        <v>1.0447</v>
      </c>
      <c r="G282" s="3108">
        <v>0.97319999999999995</v>
      </c>
      <c r="H282" s="3108">
        <v>0.97319999999999995</v>
      </c>
      <c r="I282" s="3108">
        <v>0.91069999999999995</v>
      </c>
      <c r="J282" s="3108">
        <v>0.91069999999999995</v>
      </c>
      <c r="K282" s="3108">
        <v>0.91069999999999995</v>
      </c>
      <c r="L282" s="3108">
        <v>0.91069999999999995</v>
      </c>
      <c r="M282" s="3109">
        <v>0.91069999999999995</v>
      </c>
    </row>
    <row r="283" spans="1:21">
      <c r="A283" s="3107">
        <v>1.4</v>
      </c>
      <c r="B283" s="3108">
        <v>1.0187999999999999</v>
      </c>
      <c r="C283" s="3108">
        <v>1.0187999999999999</v>
      </c>
      <c r="D283" s="3108">
        <v>1.0217000000000001</v>
      </c>
      <c r="E283" s="3108">
        <v>1.0217000000000001</v>
      </c>
      <c r="F283" s="3108">
        <v>1.0217000000000001</v>
      </c>
      <c r="G283" s="3108">
        <v>0.94779999999999998</v>
      </c>
      <c r="H283" s="3108">
        <v>0.94779999999999998</v>
      </c>
      <c r="I283" s="3108">
        <v>0.8841</v>
      </c>
      <c r="J283" s="3108">
        <v>0.8841</v>
      </c>
      <c r="K283" s="3108">
        <v>0.8841</v>
      </c>
      <c r="L283" s="3108">
        <v>0.8841</v>
      </c>
      <c r="M283" s="3109">
        <v>0.8841</v>
      </c>
    </row>
    <row r="284" spans="1:21">
      <c r="A284" s="3107">
        <v>1.5</v>
      </c>
      <c r="B284" s="3108">
        <v>1</v>
      </c>
      <c r="C284" s="3108">
        <v>1</v>
      </c>
      <c r="D284" s="3108">
        <v>1</v>
      </c>
      <c r="E284" s="3108">
        <v>1</v>
      </c>
      <c r="F284" s="3108">
        <v>1</v>
      </c>
      <c r="G284" s="3108">
        <v>0.92379999999999995</v>
      </c>
      <c r="H284" s="3108">
        <v>0.92379999999999995</v>
      </c>
      <c r="I284" s="3108">
        <v>0.8589</v>
      </c>
      <c r="J284" s="3108">
        <v>0.8589</v>
      </c>
      <c r="K284" s="3108">
        <v>0.8589</v>
      </c>
      <c r="L284" s="3108">
        <v>0.8589</v>
      </c>
      <c r="M284" s="3109">
        <v>0.8589</v>
      </c>
    </row>
    <row r="285" spans="1:21">
      <c r="A285" s="3107">
        <v>1.6</v>
      </c>
      <c r="B285" s="3108">
        <v>0.98229999999999995</v>
      </c>
      <c r="C285" s="3108">
        <v>0.98229999999999995</v>
      </c>
      <c r="D285" s="3108">
        <v>0.97950000000000004</v>
      </c>
      <c r="E285" s="3108">
        <v>0.97950000000000004</v>
      </c>
      <c r="F285" s="3108">
        <v>0.97950000000000004</v>
      </c>
      <c r="G285" s="3108">
        <v>0.9012</v>
      </c>
      <c r="H285" s="3108">
        <v>0.9012</v>
      </c>
      <c r="I285" s="3108">
        <v>0.83509999999999995</v>
      </c>
      <c r="J285" s="3108">
        <v>0.83509999999999995</v>
      </c>
      <c r="K285" s="3108">
        <v>0.83509999999999995</v>
      </c>
      <c r="L285" s="3108">
        <v>0.83509999999999995</v>
      </c>
      <c r="M285" s="3109">
        <v>0.83509999999999995</v>
      </c>
    </row>
    <row r="286" spans="1:21">
      <c r="A286" s="3107">
        <v>1.7</v>
      </c>
      <c r="B286" s="3108">
        <v>0.96550000000000002</v>
      </c>
      <c r="C286" s="3108">
        <v>0.96550000000000002</v>
      </c>
      <c r="D286" s="3108">
        <v>0.96009999999999995</v>
      </c>
      <c r="E286" s="3108">
        <v>0.96009999999999995</v>
      </c>
      <c r="F286" s="3108">
        <v>0.96009999999999995</v>
      </c>
      <c r="G286" s="3108">
        <v>0.87980000000000003</v>
      </c>
      <c r="H286" s="3108">
        <v>0.87980000000000003</v>
      </c>
      <c r="I286" s="3108">
        <v>0.81269999999999998</v>
      </c>
      <c r="J286" s="3108">
        <v>0.81269999999999998</v>
      </c>
      <c r="K286" s="3108">
        <v>0.81269999999999998</v>
      </c>
      <c r="L286" s="3108">
        <v>0.81269999999999998</v>
      </c>
      <c r="M286" s="3109">
        <v>0.81269999999999998</v>
      </c>
    </row>
    <row r="287" spans="1:21">
      <c r="A287" s="3107">
        <v>1.8</v>
      </c>
      <c r="B287" s="3108">
        <v>0.94969999999999999</v>
      </c>
      <c r="C287" s="3108">
        <v>0.94969999999999999</v>
      </c>
      <c r="D287" s="3108">
        <v>0.94189999999999996</v>
      </c>
      <c r="E287" s="3108">
        <v>0.94189999999999996</v>
      </c>
      <c r="F287" s="3108">
        <v>0.94189999999999996</v>
      </c>
      <c r="G287" s="3108">
        <v>0.85960000000000003</v>
      </c>
      <c r="H287" s="3108">
        <v>0.85960000000000003</v>
      </c>
      <c r="I287" s="3108">
        <v>0.79149999999999998</v>
      </c>
      <c r="J287" s="3108">
        <v>0.79149999999999998</v>
      </c>
      <c r="K287" s="3108">
        <v>0.79149999999999998</v>
      </c>
      <c r="L287" s="3108">
        <v>0.79149999999999998</v>
      </c>
      <c r="M287" s="3109">
        <v>0.79149999999999998</v>
      </c>
    </row>
    <row r="288" spans="1:21">
      <c r="A288" s="3107">
        <v>1.9</v>
      </c>
      <c r="B288" s="3108">
        <v>0.93479999999999996</v>
      </c>
      <c r="C288" s="3108">
        <v>0.93479999999999996</v>
      </c>
      <c r="D288" s="3108">
        <v>0.92459999999999998</v>
      </c>
      <c r="E288" s="3108">
        <v>0.92459999999999998</v>
      </c>
      <c r="F288" s="3108">
        <v>0.92459999999999998</v>
      </c>
      <c r="G288" s="3108">
        <v>0.84060000000000001</v>
      </c>
      <c r="H288" s="3108">
        <v>0.84060000000000001</v>
      </c>
      <c r="I288" s="3108">
        <v>0.77149999999999996</v>
      </c>
      <c r="J288" s="3108">
        <v>0.77149999999999996</v>
      </c>
      <c r="K288" s="3108">
        <v>0.77149999999999996</v>
      </c>
      <c r="L288" s="3108">
        <v>0.77149999999999996</v>
      </c>
      <c r="M288" s="3109">
        <v>0.77149999999999996</v>
      </c>
    </row>
    <row r="289" spans="1:13">
      <c r="A289" s="3107">
        <v>2</v>
      </c>
      <c r="B289" s="3108">
        <v>0.92079999999999995</v>
      </c>
      <c r="C289" s="3108">
        <v>0.92079999999999995</v>
      </c>
      <c r="D289" s="3108">
        <v>0.90839999999999999</v>
      </c>
      <c r="E289" s="3108">
        <v>0.90839999999999999</v>
      </c>
      <c r="F289" s="3108">
        <v>0.90839999999999999</v>
      </c>
      <c r="G289" s="3108">
        <v>0.82269999999999999</v>
      </c>
      <c r="H289" s="3108">
        <v>0.82269999999999999</v>
      </c>
      <c r="I289" s="3108">
        <v>0.75270000000000004</v>
      </c>
      <c r="J289" s="3108">
        <v>0.75270000000000004</v>
      </c>
      <c r="K289" s="3108">
        <v>0.75270000000000004</v>
      </c>
      <c r="L289" s="3108">
        <v>0.75270000000000004</v>
      </c>
      <c r="M289" s="3109">
        <v>0.75270000000000004</v>
      </c>
    </row>
    <row r="290" spans="1:13">
      <c r="A290" s="3110">
        <v>2.1</v>
      </c>
      <c r="B290" s="3108">
        <v>0.90759999999999996</v>
      </c>
      <c r="C290" s="3108">
        <v>0.90759999999999996</v>
      </c>
      <c r="D290" s="3108">
        <v>0.89319999999999999</v>
      </c>
      <c r="E290" s="3108">
        <v>0.89319999999999999</v>
      </c>
      <c r="F290" s="3108">
        <v>0.89319999999999999</v>
      </c>
      <c r="G290" s="3108">
        <v>0.80589999999999995</v>
      </c>
      <c r="H290" s="3108">
        <v>0.80589999999999995</v>
      </c>
      <c r="I290" s="3108">
        <v>0.73499999999999999</v>
      </c>
      <c r="J290" s="3108">
        <v>0.73499999999999999</v>
      </c>
      <c r="K290" s="3108">
        <v>0.73499999999999999</v>
      </c>
      <c r="L290" s="3108">
        <v>0.73499999999999999</v>
      </c>
      <c r="M290" s="3109">
        <v>0.73499999999999999</v>
      </c>
    </row>
    <row r="291" spans="1:13">
      <c r="A291" s="3110">
        <v>2.2000000000000002</v>
      </c>
      <c r="B291" s="3108">
        <v>0.8952</v>
      </c>
      <c r="C291" s="3108">
        <v>0.8952</v>
      </c>
      <c r="D291" s="3108">
        <v>0.87880000000000003</v>
      </c>
      <c r="E291" s="3108">
        <v>0.87880000000000003</v>
      </c>
      <c r="F291" s="3108">
        <v>0.87880000000000003</v>
      </c>
      <c r="G291" s="3108">
        <v>0.79</v>
      </c>
      <c r="H291" s="3108">
        <v>0.79</v>
      </c>
      <c r="I291" s="3108">
        <v>0.71840000000000004</v>
      </c>
      <c r="J291" s="3108">
        <v>0.71840000000000004</v>
      </c>
      <c r="K291" s="3108">
        <v>0.71840000000000004</v>
      </c>
      <c r="L291" s="3108">
        <v>0.71840000000000004</v>
      </c>
      <c r="M291" s="3109">
        <v>0.71840000000000004</v>
      </c>
    </row>
    <row r="292" spans="1:13">
      <c r="A292" s="3110">
        <v>2.2999999999999998</v>
      </c>
      <c r="B292" s="3108">
        <v>0.88360000000000005</v>
      </c>
      <c r="C292" s="3108">
        <v>0.88360000000000005</v>
      </c>
      <c r="D292" s="3108">
        <v>0.86529999999999996</v>
      </c>
      <c r="E292" s="3108">
        <v>0.86529999999999996</v>
      </c>
      <c r="F292" s="3108">
        <v>0.86529999999999996</v>
      </c>
      <c r="G292" s="3108">
        <v>0.77510000000000001</v>
      </c>
      <c r="H292" s="3108">
        <v>0.77510000000000001</v>
      </c>
      <c r="I292" s="3108">
        <v>0.70269999999999999</v>
      </c>
      <c r="J292" s="3108">
        <v>0.70269999999999999</v>
      </c>
      <c r="K292" s="3108">
        <v>0.70269999999999999</v>
      </c>
      <c r="L292" s="3108">
        <v>0.70269999999999999</v>
      </c>
      <c r="M292" s="3109">
        <v>0.70269999999999999</v>
      </c>
    </row>
    <row r="293" spans="1:13">
      <c r="A293" s="3110">
        <v>2.4</v>
      </c>
      <c r="B293" s="3108">
        <v>0.87260000000000004</v>
      </c>
      <c r="C293" s="3108">
        <v>0.87260000000000004</v>
      </c>
      <c r="D293" s="3108">
        <v>0.85260000000000002</v>
      </c>
      <c r="E293" s="3108">
        <v>0.85260000000000002</v>
      </c>
      <c r="F293" s="3108">
        <v>0.85260000000000002</v>
      </c>
      <c r="G293" s="3108">
        <v>0.76100000000000001</v>
      </c>
      <c r="H293" s="3108">
        <v>0.76100000000000001</v>
      </c>
      <c r="I293" s="3108">
        <v>0.68799999999999994</v>
      </c>
      <c r="J293" s="3108">
        <v>0.68799999999999994</v>
      </c>
      <c r="K293" s="3108">
        <v>0.68799999999999994</v>
      </c>
      <c r="L293" s="3108">
        <v>0.68799999999999994</v>
      </c>
      <c r="M293" s="3109">
        <v>0.68799999999999994</v>
      </c>
    </row>
    <row r="294" spans="1:13">
      <c r="A294" s="3110">
        <v>2.5</v>
      </c>
      <c r="B294" s="3108">
        <v>0.86229999999999996</v>
      </c>
      <c r="C294" s="3108">
        <v>0.86229999999999996</v>
      </c>
      <c r="D294" s="3108">
        <v>0.8407</v>
      </c>
      <c r="E294" s="3108">
        <v>0.8407</v>
      </c>
      <c r="F294" s="3108">
        <v>0.8407</v>
      </c>
      <c r="G294" s="3108">
        <v>0.74780000000000002</v>
      </c>
      <c r="H294" s="3108">
        <v>0.74780000000000002</v>
      </c>
      <c r="I294" s="3108">
        <v>0.67410000000000003</v>
      </c>
      <c r="J294" s="3108">
        <v>0.67410000000000003</v>
      </c>
      <c r="K294" s="3108">
        <v>0.67410000000000003</v>
      </c>
      <c r="L294" s="3108">
        <v>0.67410000000000003</v>
      </c>
      <c r="M294" s="3109">
        <v>0.67410000000000003</v>
      </c>
    </row>
    <row r="295" spans="1:13">
      <c r="A295" s="3110">
        <v>2.6</v>
      </c>
      <c r="B295" s="3108">
        <v>0.85270000000000001</v>
      </c>
      <c r="C295" s="3108">
        <v>0.85270000000000001</v>
      </c>
      <c r="D295" s="3108">
        <v>0.82950000000000002</v>
      </c>
      <c r="E295" s="3108">
        <v>0.82950000000000002</v>
      </c>
      <c r="F295" s="3108">
        <v>0.82950000000000002</v>
      </c>
      <c r="G295" s="3108">
        <v>0.73540000000000005</v>
      </c>
      <c r="H295" s="3108">
        <v>0.73540000000000005</v>
      </c>
      <c r="I295" s="3108">
        <v>0.66110000000000002</v>
      </c>
      <c r="J295" s="3108">
        <v>0.66110000000000002</v>
      </c>
      <c r="K295" s="3108">
        <v>0.66110000000000002</v>
      </c>
      <c r="L295" s="3108">
        <v>0.66110000000000002</v>
      </c>
      <c r="M295" s="3109">
        <v>0.66110000000000002</v>
      </c>
    </row>
    <row r="296" spans="1:13">
      <c r="A296" s="3110">
        <v>2.7</v>
      </c>
      <c r="B296" s="3108">
        <v>0.84360000000000002</v>
      </c>
      <c r="C296" s="3108">
        <v>0.84360000000000002</v>
      </c>
      <c r="D296" s="3108">
        <v>0.81899999999999995</v>
      </c>
      <c r="E296" s="3108">
        <v>0.81899999999999995</v>
      </c>
      <c r="F296" s="3108">
        <v>0.81899999999999995</v>
      </c>
      <c r="G296" s="3108">
        <v>0.7238</v>
      </c>
      <c r="H296" s="3108">
        <v>0.7238</v>
      </c>
      <c r="I296" s="3108">
        <v>0.64880000000000004</v>
      </c>
      <c r="J296" s="3108">
        <v>0.64880000000000004</v>
      </c>
      <c r="K296" s="3108">
        <v>0.64880000000000004</v>
      </c>
      <c r="L296" s="3108">
        <v>0.64880000000000004</v>
      </c>
      <c r="M296" s="3109">
        <v>0.64880000000000004</v>
      </c>
    </row>
    <row r="297" spans="1:13">
      <c r="A297" s="3110">
        <v>2.8</v>
      </c>
      <c r="B297" s="3108">
        <v>0.83509999999999995</v>
      </c>
      <c r="C297" s="3108">
        <v>0.83509999999999995</v>
      </c>
      <c r="D297" s="3108">
        <v>0.80910000000000004</v>
      </c>
      <c r="E297" s="3108">
        <v>0.80910000000000004</v>
      </c>
      <c r="F297" s="3108">
        <v>0.80910000000000004</v>
      </c>
      <c r="G297" s="3108">
        <v>0.71289999999999998</v>
      </c>
      <c r="H297" s="3108">
        <v>0.71289999999999998</v>
      </c>
      <c r="I297" s="3108">
        <v>0.63739999999999997</v>
      </c>
      <c r="J297" s="3108">
        <v>0.63739999999999997</v>
      </c>
      <c r="K297" s="3108">
        <v>0.63739999999999997</v>
      </c>
      <c r="L297" s="3108">
        <v>0.63739999999999997</v>
      </c>
      <c r="M297" s="3109">
        <v>0.63739999999999997</v>
      </c>
    </row>
    <row r="298" spans="1:13">
      <c r="A298" s="3110">
        <v>2.9</v>
      </c>
      <c r="B298" s="3108">
        <v>0.82720000000000005</v>
      </c>
      <c r="C298" s="3108">
        <v>0.82720000000000005</v>
      </c>
      <c r="D298" s="3108">
        <v>0.79990000000000006</v>
      </c>
      <c r="E298" s="3108">
        <v>0.79990000000000006</v>
      </c>
      <c r="F298" s="3108">
        <v>0.79990000000000006</v>
      </c>
      <c r="G298" s="3108">
        <v>0.7026</v>
      </c>
      <c r="H298" s="3108">
        <v>0.7026</v>
      </c>
      <c r="I298" s="3108">
        <v>0.62660000000000005</v>
      </c>
      <c r="J298" s="3108">
        <v>0.62660000000000005</v>
      </c>
      <c r="K298" s="3108">
        <v>0.62660000000000005</v>
      </c>
      <c r="L298" s="3108">
        <v>0.62660000000000005</v>
      </c>
      <c r="M298" s="3109">
        <v>0.62660000000000005</v>
      </c>
    </row>
    <row r="299" spans="1:13">
      <c r="A299" s="3110">
        <v>3</v>
      </c>
      <c r="B299" s="3108">
        <v>0.81969999999999998</v>
      </c>
      <c r="C299" s="3108">
        <v>0.81969999999999998</v>
      </c>
      <c r="D299" s="3108">
        <v>0.79120000000000001</v>
      </c>
      <c r="E299" s="3108">
        <v>0.79120000000000001</v>
      </c>
      <c r="F299" s="3108">
        <v>0.79120000000000001</v>
      </c>
      <c r="G299" s="3108">
        <v>0.69299999999999995</v>
      </c>
      <c r="H299" s="3108">
        <v>0.69299999999999995</v>
      </c>
      <c r="I299" s="3108">
        <v>0.61650000000000005</v>
      </c>
      <c r="J299" s="3108">
        <v>0.61650000000000005</v>
      </c>
      <c r="K299" s="3108">
        <v>0.61650000000000005</v>
      </c>
      <c r="L299" s="3108">
        <v>0.61650000000000005</v>
      </c>
      <c r="M299" s="3109">
        <v>0.61650000000000005</v>
      </c>
    </row>
    <row r="300" spans="1:13">
      <c r="A300" s="3110">
        <v>3.1</v>
      </c>
      <c r="B300" s="3108">
        <v>0.81279999999999997</v>
      </c>
      <c r="C300" s="3108">
        <v>0.81279999999999997</v>
      </c>
      <c r="D300" s="3108">
        <v>0.78310000000000002</v>
      </c>
      <c r="E300" s="3108">
        <v>0.78310000000000002</v>
      </c>
      <c r="F300" s="3108">
        <v>0.78310000000000002</v>
      </c>
      <c r="G300" s="3108">
        <v>0.68400000000000005</v>
      </c>
      <c r="H300" s="3108">
        <v>0.68400000000000005</v>
      </c>
      <c r="I300" s="3108">
        <v>0.60709999999999997</v>
      </c>
      <c r="J300" s="3108">
        <v>0.60709999999999997</v>
      </c>
      <c r="K300" s="3108">
        <v>0.60709999999999997</v>
      </c>
      <c r="L300" s="3108">
        <v>0.60709999999999997</v>
      </c>
      <c r="M300" s="3109">
        <v>0.60709999999999997</v>
      </c>
    </row>
    <row r="301" spans="1:13">
      <c r="A301" s="3110">
        <v>3.2</v>
      </c>
      <c r="B301" s="3108">
        <v>0.80620000000000003</v>
      </c>
      <c r="C301" s="3108">
        <v>0.80620000000000003</v>
      </c>
      <c r="D301" s="3108">
        <v>0.77549999999999997</v>
      </c>
      <c r="E301" s="3108">
        <v>0.77549999999999997</v>
      </c>
      <c r="F301" s="3108">
        <v>0.77549999999999997</v>
      </c>
      <c r="G301" s="3108">
        <v>0.67559999999999998</v>
      </c>
      <c r="H301" s="3108">
        <v>0.67559999999999998</v>
      </c>
      <c r="I301" s="3108">
        <v>0.59809999999999997</v>
      </c>
      <c r="J301" s="3108">
        <v>0.59809999999999997</v>
      </c>
      <c r="K301" s="3108">
        <v>0.59809999999999997</v>
      </c>
      <c r="L301" s="3108">
        <v>0.59809999999999997</v>
      </c>
      <c r="M301" s="3109">
        <v>0.59809999999999997</v>
      </c>
    </row>
    <row r="302" spans="1:13">
      <c r="A302" s="3110">
        <v>3.3</v>
      </c>
      <c r="B302" s="3108">
        <v>0.80010000000000003</v>
      </c>
      <c r="C302" s="3108">
        <v>0.80010000000000003</v>
      </c>
      <c r="D302" s="3108">
        <v>0.76839999999999997</v>
      </c>
      <c r="E302" s="3108">
        <v>0.76839999999999997</v>
      </c>
      <c r="F302" s="3108">
        <v>0.76839999999999997</v>
      </c>
      <c r="G302" s="3108">
        <v>0.66769999999999996</v>
      </c>
      <c r="H302" s="3108">
        <v>0.66769999999999996</v>
      </c>
      <c r="I302" s="3108">
        <v>0.58979999999999999</v>
      </c>
      <c r="J302" s="3108">
        <v>0.58979999999999999</v>
      </c>
      <c r="K302" s="3108">
        <v>0.58979999999999999</v>
      </c>
      <c r="L302" s="3108">
        <v>0.58979999999999999</v>
      </c>
      <c r="M302" s="3109">
        <v>0.58979999999999999</v>
      </c>
    </row>
    <row r="303" spans="1:13">
      <c r="A303" s="3110">
        <v>3.4</v>
      </c>
      <c r="B303" s="3108">
        <v>0.7944</v>
      </c>
      <c r="C303" s="3108">
        <v>0.7944</v>
      </c>
      <c r="D303" s="3108">
        <v>0.76170000000000004</v>
      </c>
      <c r="E303" s="3108">
        <v>0.76170000000000004</v>
      </c>
      <c r="F303" s="3108">
        <v>0.76170000000000004</v>
      </c>
      <c r="G303" s="3108">
        <v>0.66020000000000001</v>
      </c>
      <c r="H303" s="3108">
        <v>0.66020000000000001</v>
      </c>
      <c r="I303" s="3108">
        <v>0.58209999999999995</v>
      </c>
      <c r="J303" s="3108">
        <v>0.58209999999999995</v>
      </c>
      <c r="K303" s="3108">
        <v>0.58209999999999995</v>
      </c>
      <c r="L303" s="3108">
        <v>0.58209999999999995</v>
      </c>
      <c r="M303" s="3109">
        <v>0.58209999999999995</v>
      </c>
    </row>
    <row r="304" spans="1:13">
      <c r="A304" s="3110">
        <v>3.5</v>
      </c>
      <c r="B304" s="3108">
        <v>0.78910000000000002</v>
      </c>
      <c r="C304" s="3108">
        <v>0.78910000000000002</v>
      </c>
      <c r="D304" s="3108">
        <v>0.75549999999999995</v>
      </c>
      <c r="E304" s="3108">
        <v>0.75549999999999995</v>
      </c>
      <c r="F304" s="3108">
        <v>0.75549999999999995</v>
      </c>
      <c r="G304" s="3108">
        <v>0.65329999999999999</v>
      </c>
      <c r="H304" s="3108">
        <v>0.65329999999999999</v>
      </c>
      <c r="I304" s="3108">
        <v>0.57479999999999998</v>
      </c>
      <c r="J304" s="3108">
        <v>0.57479999999999998</v>
      </c>
      <c r="K304" s="3108">
        <v>0.57479999999999998</v>
      </c>
      <c r="L304" s="3108">
        <v>0.57479999999999998</v>
      </c>
      <c r="M304" s="3109">
        <v>0.57479999999999998</v>
      </c>
    </row>
    <row r="305" spans="1:13">
      <c r="A305" s="3110">
        <v>3.6</v>
      </c>
      <c r="B305" s="3108">
        <v>0.78410000000000002</v>
      </c>
      <c r="C305" s="3108">
        <v>0.78410000000000002</v>
      </c>
      <c r="D305" s="3108">
        <v>0.74960000000000004</v>
      </c>
      <c r="E305" s="3108">
        <v>0.74960000000000004</v>
      </c>
      <c r="F305" s="3108">
        <v>0.74960000000000004</v>
      </c>
      <c r="G305" s="3108">
        <v>0.64680000000000004</v>
      </c>
      <c r="H305" s="3108">
        <v>0.64680000000000004</v>
      </c>
      <c r="I305" s="3108">
        <v>0.56789999999999996</v>
      </c>
      <c r="J305" s="3108">
        <v>0.56789999999999996</v>
      </c>
      <c r="K305" s="3108">
        <v>0.56789999999999996</v>
      </c>
      <c r="L305" s="3108">
        <v>0.56789999999999996</v>
      </c>
      <c r="M305" s="3109">
        <v>0.56789999999999996</v>
      </c>
    </row>
    <row r="306" spans="1:13">
      <c r="A306" s="3110">
        <v>3.7</v>
      </c>
      <c r="B306" s="3108">
        <v>0.77939999999999998</v>
      </c>
      <c r="C306" s="3108">
        <v>0.77939999999999998</v>
      </c>
      <c r="D306" s="3108">
        <v>0.74409999999999998</v>
      </c>
      <c r="E306" s="3108">
        <v>0.74409999999999998</v>
      </c>
      <c r="F306" s="3108">
        <v>0.74409999999999998</v>
      </c>
      <c r="G306" s="3108">
        <v>0.64070000000000005</v>
      </c>
      <c r="H306" s="3108">
        <v>0.64070000000000005</v>
      </c>
      <c r="I306" s="3108">
        <v>0.5615</v>
      </c>
      <c r="J306" s="3108">
        <v>0.5615</v>
      </c>
      <c r="K306" s="3108">
        <v>0.5615</v>
      </c>
      <c r="L306" s="3108">
        <v>0.5615</v>
      </c>
      <c r="M306" s="3109">
        <v>0.5615</v>
      </c>
    </row>
    <row r="307" spans="1:13">
      <c r="A307" s="3110">
        <v>3.8</v>
      </c>
      <c r="B307" s="3108">
        <v>0.77500000000000002</v>
      </c>
      <c r="C307" s="3108">
        <v>0.77500000000000002</v>
      </c>
      <c r="D307" s="3108">
        <v>0.73899999999999999</v>
      </c>
      <c r="E307" s="3108">
        <v>0.73899999999999999</v>
      </c>
      <c r="F307" s="3108">
        <v>0.73899999999999999</v>
      </c>
      <c r="G307" s="3108">
        <v>0.63490000000000002</v>
      </c>
      <c r="H307" s="3108">
        <v>0.63490000000000002</v>
      </c>
      <c r="I307" s="3108">
        <v>0.55549999999999999</v>
      </c>
      <c r="J307" s="3108">
        <v>0.55549999999999999</v>
      </c>
      <c r="K307" s="3108">
        <v>0.55549999999999999</v>
      </c>
      <c r="L307" s="3108">
        <v>0.55549999999999999</v>
      </c>
      <c r="M307" s="3109">
        <v>0.55549999999999999</v>
      </c>
    </row>
    <row r="308" spans="1:13">
      <c r="A308" s="3110">
        <v>3.9</v>
      </c>
      <c r="B308" s="3108">
        <v>0.77090000000000003</v>
      </c>
      <c r="C308" s="3108">
        <v>0.77090000000000003</v>
      </c>
      <c r="D308" s="3108">
        <v>0.73419999999999996</v>
      </c>
      <c r="E308" s="3108">
        <v>0.73419999999999996</v>
      </c>
      <c r="F308" s="3108">
        <v>0.73419999999999996</v>
      </c>
      <c r="G308" s="3108">
        <v>0.62949999999999995</v>
      </c>
      <c r="H308" s="3108">
        <v>0.62949999999999995</v>
      </c>
      <c r="I308" s="3108">
        <v>0.54990000000000006</v>
      </c>
      <c r="J308" s="3108">
        <v>0.54990000000000006</v>
      </c>
      <c r="K308" s="3108">
        <v>0.54990000000000006</v>
      </c>
      <c r="L308" s="3108">
        <v>0.54990000000000006</v>
      </c>
      <c r="M308" s="3109">
        <v>0.54990000000000006</v>
      </c>
    </row>
    <row r="309" spans="1:13">
      <c r="A309" s="3110">
        <v>4</v>
      </c>
      <c r="B309" s="3108">
        <v>0.7671</v>
      </c>
      <c r="C309" s="3108">
        <v>0.7671</v>
      </c>
      <c r="D309" s="3108">
        <v>0.72970000000000002</v>
      </c>
      <c r="E309" s="3108">
        <v>0.72970000000000002</v>
      </c>
      <c r="F309" s="3108">
        <v>0.72970000000000002</v>
      </c>
      <c r="G309" s="3108">
        <v>0.62450000000000006</v>
      </c>
      <c r="H309" s="3108">
        <v>0.62450000000000006</v>
      </c>
      <c r="I309" s="3108">
        <v>0.54449999999999998</v>
      </c>
      <c r="J309" s="3108">
        <v>0.54449999999999998</v>
      </c>
      <c r="K309" s="3108">
        <v>0.54449999999999998</v>
      </c>
      <c r="L309" s="3108">
        <v>0.54449999999999998</v>
      </c>
      <c r="M309" s="3109">
        <v>0.54449999999999998</v>
      </c>
    </row>
    <row r="310" spans="1:13">
      <c r="A310" s="3110">
        <v>4.0999999999999996</v>
      </c>
      <c r="B310" s="3108">
        <v>0.76349999999999996</v>
      </c>
      <c r="C310" s="3108">
        <v>0.76349999999999996</v>
      </c>
      <c r="D310" s="3108">
        <v>0.72540000000000004</v>
      </c>
      <c r="E310" s="3108">
        <v>0.72540000000000004</v>
      </c>
      <c r="F310" s="3108">
        <v>0.72540000000000004</v>
      </c>
      <c r="G310" s="3108">
        <v>0.61970000000000003</v>
      </c>
      <c r="H310" s="3108">
        <v>0.61970000000000003</v>
      </c>
      <c r="I310" s="3108">
        <v>0.53959999999999997</v>
      </c>
      <c r="J310" s="3108">
        <v>0.53959999999999997</v>
      </c>
      <c r="K310" s="3108">
        <v>0.53959999999999997</v>
      </c>
      <c r="L310" s="3108">
        <v>0.53959999999999997</v>
      </c>
      <c r="M310" s="3109">
        <v>0.53959999999999997</v>
      </c>
    </row>
    <row r="311" spans="1:13">
      <c r="A311" s="3110">
        <v>4.2</v>
      </c>
      <c r="B311" s="3108">
        <v>0.7601</v>
      </c>
      <c r="C311" s="3108">
        <v>0.7601</v>
      </c>
      <c r="D311" s="3108">
        <v>0.72140000000000004</v>
      </c>
      <c r="E311" s="3108">
        <v>0.72140000000000004</v>
      </c>
      <c r="F311" s="3108">
        <v>0.72140000000000004</v>
      </c>
      <c r="G311" s="3108">
        <v>0.61529999999999996</v>
      </c>
      <c r="H311" s="3108">
        <v>0.61529999999999996</v>
      </c>
      <c r="I311" s="3108">
        <v>0.53490000000000004</v>
      </c>
      <c r="J311" s="3108">
        <v>0.53490000000000004</v>
      </c>
      <c r="K311" s="3108">
        <v>0.53490000000000004</v>
      </c>
      <c r="L311" s="3108">
        <v>0.53490000000000004</v>
      </c>
      <c r="M311" s="3109">
        <v>0.53490000000000004</v>
      </c>
    </row>
    <row r="312" spans="1:13">
      <c r="A312" s="3110">
        <v>4.3</v>
      </c>
      <c r="B312" s="3108">
        <v>0.75700000000000001</v>
      </c>
      <c r="C312" s="3108">
        <v>0.75700000000000001</v>
      </c>
      <c r="D312" s="3108">
        <v>0.7177</v>
      </c>
      <c r="E312" s="3108">
        <v>0.7177</v>
      </c>
      <c r="F312" s="3108">
        <v>0.7177</v>
      </c>
      <c r="G312" s="3108">
        <v>0.61109999999999998</v>
      </c>
      <c r="H312" s="3108">
        <v>0.61109999999999998</v>
      </c>
      <c r="I312" s="3108">
        <v>0.53049999999999997</v>
      </c>
      <c r="J312" s="3108">
        <v>0.53049999999999997</v>
      </c>
      <c r="K312" s="3108">
        <v>0.53049999999999997</v>
      </c>
      <c r="L312" s="3108">
        <v>0.53049999999999997</v>
      </c>
      <c r="M312" s="3109">
        <v>0.53049999999999997</v>
      </c>
    </row>
    <row r="313" spans="1:13">
      <c r="A313" s="3110">
        <v>4.4000000000000004</v>
      </c>
      <c r="B313" s="3108">
        <v>0.754</v>
      </c>
      <c r="C313" s="3108">
        <v>0.754</v>
      </c>
      <c r="D313" s="3108">
        <v>0.71409999999999996</v>
      </c>
      <c r="E313" s="3108">
        <v>0.71409999999999996</v>
      </c>
      <c r="F313" s="3108">
        <v>0.71409999999999996</v>
      </c>
      <c r="G313" s="3108">
        <v>0.60709999999999997</v>
      </c>
      <c r="H313" s="3108">
        <v>0.60709999999999997</v>
      </c>
      <c r="I313" s="3108">
        <v>0.52639999999999998</v>
      </c>
      <c r="J313" s="3108">
        <v>0.52639999999999998</v>
      </c>
      <c r="K313" s="3108">
        <v>0.52639999999999998</v>
      </c>
      <c r="L313" s="3108">
        <v>0.52639999999999998</v>
      </c>
      <c r="M313" s="3109">
        <v>0.52639999999999998</v>
      </c>
    </row>
    <row r="314" spans="1:13">
      <c r="A314" s="3110">
        <v>4.5</v>
      </c>
      <c r="B314" s="3108">
        <v>0.75119999999999998</v>
      </c>
      <c r="C314" s="3108">
        <v>0.75119999999999998</v>
      </c>
      <c r="D314" s="3108">
        <v>0.71079999999999999</v>
      </c>
      <c r="E314" s="3108">
        <v>0.71079999999999999</v>
      </c>
      <c r="F314" s="3108">
        <v>0.71079999999999999</v>
      </c>
      <c r="G314" s="3108">
        <v>0.60329999999999995</v>
      </c>
      <c r="H314" s="3108">
        <v>0.60329999999999995</v>
      </c>
      <c r="I314" s="3108">
        <v>0.52249999999999996</v>
      </c>
      <c r="J314" s="3108">
        <v>0.52249999999999996</v>
      </c>
      <c r="K314" s="3108">
        <v>0.52249999999999996</v>
      </c>
      <c r="L314" s="3108">
        <v>0.52249999999999996</v>
      </c>
      <c r="M314" s="3109">
        <v>0.52249999999999996</v>
      </c>
    </row>
    <row r="315" spans="1:13">
      <c r="A315" s="3110">
        <v>4.5999999999999996</v>
      </c>
      <c r="B315" s="3108">
        <v>0.74860000000000004</v>
      </c>
      <c r="C315" s="3108">
        <v>0.74860000000000004</v>
      </c>
      <c r="D315" s="3108">
        <v>0.70760000000000001</v>
      </c>
      <c r="E315" s="3108">
        <v>0.70760000000000001</v>
      </c>
      <c r="F315" s="3108">
        <v>0.70760000000000001</v>
      </c>
      <c r="G315" s="3108">
        <v>0.59970000000000001</v>
      </c>
      <c r="H315" s="3108">
        <v>0.59970000000000001</v>
      </c>
      <c r="I315" s="3108">
        <v>0.51890000000000003</v>
      </c>
      <c r="J315" s="3108">
        <v>0.51890000000000003</v>
      </c>
      <c r="K315" s="3108">
        <v>0.51890000000000003</v>
      </c>
      <c r="L315" s="3108">
        <v>0.51890000000000003</v>
      </c>
      <c r="M315" s="3109">
        <v>0.51890000000000003</v>
      </c>
    </row>
    <row r="316" spans="1:13">
      <c r="A316" s="3110">
        <v>4.7</v>
      </c>
      <c r="B316" s="3108">
        <v>0.74609999999999999</v>
      </c>
      <c r="C316" s="3108">
        <v>0.74609999999999999</v>
      </c>
      <c r="D316" s="3108">
        <v>0.7046</v>
      </c>
      <c r="E316" s="3108">
        <v>0.7046</v>
      </c>
      <c r="F316" s="3108">
        <v>0.7046</v>
      </c>
      <c r="G316" s="3108">
        <v>0.59630000000000005</v>
      </c>
      <c r="H316" s="3108">
        <v>0.59630000000000005</v>
      </c>
      <c r="I316" s="3108">
        <v>0.51529999999999998</v>
      </c>
      <c r="J316" s="3108">
        <v>0.51529999999999998</v>
      </c>
      <c r="K316" s="3108">
        <v>0.51529999999999998</v>
      </c>
      <c r="L316" s="3108">
        <v>0.51529999999999998</v>
      </c>
      <c r="M316" s="3109">
        <v>0.51529999999999998</v>
      </c>
    </row>
    <row r="317" spans="1:13">
      <c r="A317" s="3110">
        <v>4.8</v>
      </c>
      <c r="B317" s="3108">
        <v>0.74380000000000002</v>
      </c>
      <c r="C317" s="3108">
        <v>0.74380000000000002</v>
      </c>
      <c r="D317" s="3108">
        <v>0.70169999999999999</v>
      </c>
      <c r="E317" s="3108">
        <v>0.70169999999999999</v>
      </c>
      <c r="F317" s="3108">
        <v>0.70169999999999999</v>
      </c>
      <c r="G317" s="3108">
        <v>0.59309999999999996</v>
      </c>
      <c r="H317" s="3108">
        <v>0.59309999999999996</v>
      </c>
      <c r="I317" s="3108">
        <v>0.5121</v>
      </c>
      <c r="J317" s="3108">
        <v>0.5121</v>
      </c>
      <c r="K317" s="3108">
        <v>0.5121</v>
      </c>
      <c r="L317" s="3108">
        <v>0.5121</v>
      </c>
      <c r="M317" s="3109">
        <v>0.5121</v>
      </c>
    </row>
    <row r="318" spans="1:13">
      <c r="A318" s="3110">
        <v>4.9000000000000004</v>
      </c>
      <c r="B318" s="3108">
        <v>0.74160000000000004</v>
      </c>
      <c r="C318" s="3108">
        <v>0.74160000000000004</v>
      </c>
      <c r="D318" s="3108">
        <v>0.69889999999999997</v>
      </c>
      <c r="E318" s="3108">
        <v>0.69889999999999997</v>
      </c>
      <c r="F318" s="3108">
        <v>0.69889999999999997</v>
      </c>
      <c r="G318" s="3108">
        <v>0.59009999999999996</v>
      </c>
      <c r="H318" s="3108">
        <v>0.59009999999999996</v>
      </c>
      <c r="I318" s="3108">
        <v>0.50900000000000001</v>
      </c>
      <c r="J318" s="3108">
        <v>0.50900000000000001</v>
      </c>
      <c r="K318" s="3108">
        <v>0.50900000000000001</v>
      </c>
      <c r="L318" s="3108">
        <v>0.50900000000000001</v>
      </c>
      <c r="M318" s="3109">
        <v>0.50900000000000001</v>
      </c>
    </row>
    <row r="319" spans="1:13">
      <c r="A319" s="3110">
        <v>5</v>
      </c>
      <c r="B319" s="3108">
        <v>0.73950000000000005</v>
      </c>
      <c r="C319" s="3108">
        <v>0.73950000000000005</v>
      </c>
      <c r="D319" s="3108">
        <v>0.69620000000000004</v>
      </c>
      <c r="E319" s="3108">
        <v>0.69620000000000004</v>
      </c>
      <c r="F319" s="3108">
        <v>0.69620000000000004</v>
      </c>
      <c r="G319" s="3108">
        <v>0.58720000000000006</v>
      </c>
      <c r="H319" s="3108">
        <v>0.58720000000000006</v>
      </c>
      <c r="I319" s="3108">
        <v>0.50609999999999999</v>
      </c>
      <c r="J319" s="3108">
        <v>0.50609999999999999</v>
      </c>
      <c r="K319" s="3108">
        <v>0.50609999999999999</v>
      </c>
      <c r="L319" s="3108">
        <v>0.50609999999999999</v>
      </c>
      <c r="M319" s="3109">
        <v>0.50609999999999999</v>
      </c>
    </row>
    <row r="320" spans="1:13">
      <c r="A320" s="3107">
        <v>5.0999999999999996</v>
      </c>
      <c r="B320" s="3108">
        <v>0.73750000000000004</v>
      </c>
      <c r="C320" s="3108">
        <v>0.73750000000000004</v>
      </c>
      <c r="D320" s="3108">
        <v>0.69359999999999999</v>
      </c>
      <c r="E320" s="3108">
        <v>0.69359999999999999</v>
      </c>
      <c r="F320" s="3108">
        <v>0.69359999999999999</v>
      </c>
      <c r="G320" s="3108">
        <v>0.58440000000000003</v>
      </c>
      <c r="H320" s="3108">
        <v>0.58440000000000003</v>
      </c>
      <c r="I320" s="3108">
        <v>0.50329999999999997</v>
      </c>
      <c r="J320" s="3108">
        <v>0.50329999999999997</v>
      </c>
      <c r="K320" s="3108">
        <v>0.50329999999999997</v>
      </c>
      <c r="L320" s="3108">
        <v>0.50329999999999997</v>
      </c>
      <c r="M320" s="3109">
        <v>0.50329999999999997</v>
      </c>
    </row>
    <row r="321" spans="1:13">
      <c r="A321" s="3107">
        <v>5.2</v>
      </c>
      <c r="B321" s="3108">
        <v>0.73560000000000003</v>
      </c>
      <c r="C321" s="3108">
        <v>0.73560000000000003</v>
      </c>
      <c r="D321" s="3108">
        <v>0.69110000000000005</v>
      </c>
      <c r="E321" s="3108">
        <v>0.69110000000000005</v>
      </c>
      <c r="F321" s="3108">
        <v>0.69110000000000005</v>
      </c>
      <c r="G321" s="3108">
        <v>0.58169999999999999</v>
      </c>
      <c r="H321" s="3108">
        <v>0.58169999999999999</v>
      </c>
      <c r="I321" s="3108">
        <v>0.50060000000000004</v>
      </c>
      <c r="J321" s="3108">
        <v>0.50060000000000004</v>
      </c>
      <c r="K321" s="3108">
        <v>0.50060000000000004</v>
      </c>
      <c r="L321" s="3108">
        <v>0.50060000000000004</v>
      </c>
      <c r="M321" s="3109">
        <v>0.50060000000000004</v>
      </c>
    </row>
    <row r="322" spans="1:13">
      <c r="A322" s="3107">
        <v>5.3</v>
      </c>
      <c r="B322" s="3108">
        <v>0.73380000000000001</v>
      </c>
      <c r="C322" s="3108">
        <v>0.73380000000000001</v>
      </c>
      <c r="D322" s="3108">
        <v>0.68869999999999998</v>
      </c>
      <c r="E322" s="3108">
        <v>0.68869999999999998</v>
      </c>
      <c r="F322" s="3108">
        <v>0.68869999999999998</v>
      </c>
      <c r="G322" s="3108">
        <v>0.57909999999999995</v>
      </c>
      <c r="H322" s="3108">
        <v>0.57909999999999995</v>
      </c>
      <c r="I322" s="3108">
        <v>0.49809999999999999</v>
      </c>
      <c r="J322" s="3108">
        <v>0.49809999999999999</v>
      </c>
      <c r="K322" s="3108">
        <v>0.49809999999999999</v>
      </c>
      <c r="L322" s="3108">
        <v>0.49809999999999999</v>
      </c>
      <c r="M322" s="3109">
        <v>0.49809999999999999</v>
      </c>
    </row>
    <row r="323" spans="1:13">
      <c r="A323" s="3107">
        <v>5.4</v>
      </c>
      <c r="B323" s="3108">
        <v>0.73199999999999998</v>
      </c>
      <c r="C323" s="3108">
        <v>0.73199999999999998</v>
      </c>
      <c r="D323" s="3108">
        <v>0.68640000000000001</v>
      </c>
      <c r="E323" s="3108">
        <v>0.68640000000000001</v>
      </c>
      <c r="F323" s="3108">
        <v>0.68640000000000001</v>
      </c>
      <c r="G323" s="3108">
        <v>0.57650000000000001</v>
      </c>
      <c r="H323" s="3108">
        <v>0.57650000000000001</v>
      </c>
      <c r="I323" s="3108">
        <v>0.49559999999999998</v>
      </c>
      <c r="J323" s="3108">
        <v>0.49559999999999998</v>
      </c>
      <c r="K323" s="3108">
        <v>0.49559999999999998</v>
      </c>
      <c r="L323" s="3108">
        <v>0.49559999999999998</v>
      </c>
      <c r="M323" s="3109">
        <v>0.49559999999999998</v>
      </c>
    </row>
    <row r="324" spans="1:13">
      <c r="A324" s="3107">
        <v>5.5</v>
      </c>
      <c r="B324" s="3108">
        <v>0.73009999999999997</v>
      </c>
      <c r="C324" s="3108">
        <v>0.73009999999999997</v>
      </c>
      <c r="D324" s="3108">
        <v>0.68420000000000003</v>
      </c>
      <c r="E324" s="3108">
        <v>0.68420000000000003</v>
      </c>
      <c r="F324" s="3108">
        <v>0.68420000000000003</v>
      </c>
      <c r="G324" s="3108">
        <v>0.57399999999999995</v>
      </c>
      <c r="H324" s="3108">
        <v>0.57399999999999995</v>
      </c>
      <c r="I324" s="3108">
        <v>0.49320000000000003</v>
      </c>
      <c r="J324" s="3108">
        <v>0.49320000000000003</v>
      </c>
      <c r="K324" s="3108">
        <v>0.49320000000000003</v>
      </c>
      <c r="L324" s="3108">
        <v>0.49320000000000003</v>
      </c>
      <c r="M324" s="3109">
        <v>0.49320000000000003</v>
      </c>
    </row>
    <row r="325" spans="1:13">
      <c r="A325" s="3107">
        <v>5.6</v>
      </c>
      <c r="B325" s="3108">
        <v>0.72819999999999996</v>
      </c>
      <c r="C325" s="3108">
        <v>0.72819999999999996</v>
      </c>
      <c r="D325" s="3108">
        <v>0.68200000000000005</v>
      </c>
      <c r="E325" s="3108">
        <v>0.68200000000000005</v>
      </c>
      <c r="F325" s="3108">
        <v>0.68200000000000005</v>
      </c>
      <c r="G325" s="3108">
        <v>0.57150000000000001</v>
      </c>
      <c r="H325" s="3108">
        <v>0.57150000000000001</v>
      </c>
      <c r="I325" s="3108">
        <v>0.49080000000000001</v>
      </c>
      <c r="J325" s="3108">
        <v>0.49080000000000001</v>
      </c>
      <c r="K325" s="3108">
        <v>0.49080000000000001</v>
      </c>
      <c r="L325" s="3108">
        <v>0.49080000000000001</v>
      </c>
      <c r="M325" s="3109">
        <v>0.49080000000000001</v>
      </c>
    </row>
    <row r="326" spans="1:13">
      <c r="A326" s="3110">
        <v>5.7</v>
      </c>
      <c r="B326" s="3108">
        <v>0.72640000000000005</v>
      </c>
      <c r="C326" s="3108">
        <v>0.72640000000000005</v>
      </c>
      <c r="D326" s="3108">
        <v>0.67989999999999995</v>
      </c>
      <c r="E326" s="3108">
        <v>0.67989999999999995</v>
      </c>
      <c r="F326" s="3108">
        <v>0.67989999999999995</v>
      </c>
      <c r="G326" s="3108">
        <v>0.56899999999999995</v>
      </c>
      <c r="H326" s="3108">
        <v>0.56899999999999995</v>
      </c>
      <c r="I326" s="3108">
        <v>0.4884</v>
      </c>
      <c r="J326" s="3108">
        <v>0.4884</v>
      </c>
      <c r="K326" s="3108">
        <v>0.4884</v>
      </c>
      <c r="L326" s="3108">
        <v>0.4884</v>
      </c>
      <c r="M326" s="3109">
        <v>0.4884</v>
      </c>
    </row>
    <row r="327" spans="1:13">
      <c r="A327" s="3107">
        <v>5.8</v>
      </c>
      <c r="B327" s="3108">
        <v>0.72460000000000002</v>
      </c>
      <c r="C327" s="3108">
        <v>0.72460000000000002</v>
      </c>
      <c r="D327" s="3108">
        <v>0.67779999999999996</v>
      </c>
      <c r="E327" s="3108">
        <v>0.67779999999999996</v>
      </c>
      <c r="F327" s="3108">
        <v>0.67779999999999996</v>
      </c>
      <c r="G327" s="3108">
        <v>0.56659999999999999</v>
      </c>
      <c r="H327" s="3108">
        <v>0.56659999999999999</v>
      </c>
      <c r="I327" s="3108">
        <v>0.48609999999999998</v>
      </c>
      <c r="J327" s="3108">
        <v>0.48609999999999998</v>
      </c>
      <c r="K327" s="3108">
        <v>0.48609999999999998</v>
      </c>
      <c r="L327" s="3108">
        <v>0.48609999999999998</v>
      </c>
      <c r="M327" s="3109">
        <v>0.48609999999999998</v>
      </c>
    </row>
    <row r="328" spans="1:13">
      <c r="A328" s="3107">
        <v>5.9</v>
      </c>
      <c r="B328" s="3108">
        <v>0.7228</v>
      </c>
      <c r="C328" s="3108">
        <v>0.7228</v>
      </c>
      <c r="D328" s="3108">
        <v>0.67569999999999997</v>
      </c>
      <c r="E328" s="3108">
        <v>0.67569999999999997</v>
      </c>
      <c r="F328" s="3108">
        <v>0.67569999999999997</v>
      </c>
      <c r="G328" s="3108">
        <v>0.56420000000000003</v>
      </c>
      <c r="H328" s="3108">
        <v>0.56420000000000003</v>
      </c>
      <c r="I328" s="3108">
        <v>0.48380000000000001</v>
      </c>
      <c r="J328" s="3108">
        <v>0.48380000000000001</v>
      </c>
      <c r="K328" s="3108">
        <v>0.48380000000000001</v>
      </c>
      <c r="L328" s="3108">
        <v>0.48380000000000001</v>
      </c>
      <c r="M328" s="3109">
        <v>0.48380000000000001</v>
      </c>
    </row>
    <row r="329" spans="1:13">
      <c r="A329" s="3107">
        <v>6</v>
      </c>
      <c r="B329" s="3108">
        <v>0.72099999999999997</v>
      </c>
      <c r="C329" s="3108">
        <v>0.72099999999999997</v>
      </c>
      <c r="D329" s="3108">
        <v>0.67359999999999998</v>
      </c>
      <c r="E329" s="3108">
        <v>0.67359999999999998</v>
      </c>
      <c r="F329" s="3108">
        <v>0.67359999999999998</v>
      </c>
      <c r="G329" s="3108">
        <v>0.56179999999999997</v>
      </c>
      <c r="H329" s="3108">
        <v>0.56179999999999997</v>
      </c>
      <c r="I329" s="3108">
        <v>0.48159999999999997</v>
      </c>
      <c r="J329" s="3108">
        <v>0.48159999999999997</v>
      </c>
      <c r="K329" s="3108">
        <v>0.48159999999999997</v>
      </c>
      <c r="L329" s="3108">
        <v>0.48159999999999997</v>
      </c>
      <c r="M329" s="3109">
        <v>0.48159999999999997</v>
      </c>
    </row>
    <row r="330" spans="1:13">
      <c r="A330" s="3107">
        <v>6.1</v>
      </c>
      <c r="B330" s="3108">
        <v>0.71930000000000005</v>
      </c>
      <c r="C330" s="3108">
        <v>0.71930000000000005</v>
      </c>
      <c r="D330" s="3108">
        <v>0.67159999999999997</v>
      </c>
      <c r="E330" s="3108">
        <v>0.67159999999999997</v>
      </c>
      <c r="F330" s="3108">
        <v>0.67159999999999997</v>
      </c>
      <c r="G330" s="3108">
        <v>0.55940000000000001</v>
      </c>
      <c r="H330" s="3108">
        <v>0.55940000000000001</v>
      </c>
      <c r="I330" s="3108">
        <v>0.4793</v>
      </c>
      <c r="J330" s="3108">
        <v>0.4793</v>
      </c>
      <c r="K330" s="3108">
        <v>0.4793</v>
      </c>
      <c r="L330" s="3108">
        <v>0.4793</v>
      </c>
      <c r="M330" s="3109">
        <v>0.4793</v>
      </c>
    </row>
    <row r="331" spans="1:13">
      <c r="A331" s="3107">
        <v>6.2</v>
      </c>
      <c r="B331" s="3108">
        <v>0.71760000000000002</v>
      </c>
      <c r="C331" s="3108">
        <v>0.71760000000000002</v>
      </c>
      <c r="D331" s="3108">
        <v>0.66959999999999997</v>
      </c>
      <c r="E331" s="3108">
        <v>0.66959999999999997</v>
      </c>
      <c r="F331" s="3108">
        <v>0.66959999999999997</v>
      </c>
      <c r="G331" s="3108">
        <v>0.55710000000000004</v>
      </c>
      <c r="H331" s="3108">
        <v>0.55710000000000004</v>
      </c>
      <c r="I331" s="3108">
        <v>0.47710000000000002</v>
      </c>
      <c r="J331" s="3108">
        <v>0.47710000000000002</v>
      </c>
      <c r="K331" s="3108">
        <v>0.47710000000000002</v>
      </c>
      <c r="L331" s="3108">
        <v>0.47710000000000002</v>
      </c>
      <c r="M331" s="3109">
        <v>0.47710000000000002</v>
      </c>
    </row>
    <row r="332" spans="1:13">
      <c r="A332" s="3107">
        <v>6.3</v>
      </c>
      <c r="B332" s="3108">
        <v>0.71589999999999998</v>
      </c>
      <c r="C332" s="3108">
        <v>0.71589999999999998</v>
      </c>
      <c r="D332" s="3108">
        <v>0.66759999999999997</v>
      </c>
      <c r="E332" s="3108">
        <v>0.66759999999999997</v>
      </c>
      <c r="F332" s="3108">
        <v>0.66759999999999997</v>
      </c>
      <c r="G332" s="3108">
        <v>0.55479999999999996</v>
      </c>
      <c r="H332" s="3108">
        <v>0.55479999999999996</v>
      </c>
      <c r="I332" s="3108">
        <v>0.47489999999999999</v>
      </c>
      <c r="J332" s="3108">
        <v>0.47489999999999999</v>
      </c>
      <c r="K332" s="3108">
        <v>0.47489999999999999</v>
      </c>
      <c r="L332" s="3108">
        <v>0.47489999999999999</v>
      </c>
      <c r="M332" s="3109">
        <v>0.47489999999999999</v>
      </c>
    </row>
    <row r="333" spans="1:13">
      <c r="A333" s="3107">
        <v>6.4</v>
      </c>
      <c r="B333" s="3108">
        <v>0.71419999999999995</v>
      </c>
      <c r="C333" s="3108">
        <v>0.71419999999999995</v>
      </c>
      <c r="D333" s="3108">
        <v>0.66559999999999997</v>
      </c>
      <c r="E333" s="3108">
        <v>0.66559999999999997</v>
      </c>
      <c r="F333" s="3108">
        <v>0.66559999999999997</v>
      </c>
      <c r="G333" s="3108">
        <v>0.55249999999999999</v>
      </c>
      <c r="H333" s="3108">
        <v>0.55249999999999999</v>
      </c>
      <c r="I333" s="3108">
        <v>0.47270000000000001</v>
      </c>
      <c r="J333" s="3108">
        <v>0.47270000000000001</v>
      </c>
      <c r="K333" s="3108">
        <v>0.47270000000000001</v>
      </c>
      <c r="L333" s="3108">
        <v>0.47270000000000001</v>
      </c>
      <c r="M333" s="3109">
        <v>0.47270000000000001</v>
      </c>
    </row>
    <row r="334" spans="1:13">
      <c r="A334" s="3107">
        <v>6.5</v>
      </c>
      <c r="B334" s="3108">
        <v>0.71250000000000002</v>
      </c>
      <c r="C334" s="3108">
        <v>0.71250000000000002</v>
      </c>
      <c r="D334" s="3108">
        <v>0.66359999999999997</v>
      </c>
      <c r="E334" s="3108">
        <v>0.66359999999999997</v>
      </c>
      <c r="F334" s="3108">
        <v>0.66359999999999997</v>
      </c>
      <c r="G334" s="3108">
        <v>0.55020000000000002</v>
      </c>
      <c r="H334" s="3108">
        <v>0.55020000000000002</v>
      </c>
      <c r="I334" s="3108">
        <v>0.47060000000000002</v>
      </c>
      <c r="J334" s="3108">
        <v>0.47060000000000002</v>
      </c>
      <c r="K334" s="3108">
        <v>0.47060000000000002</v>
      </c>
      <c r="L334" s="3108">
        <v>0.47060000000000002</v>
      </c>
      <c r="M334" s="3109">
        <v>0.47060000000000002</v>
      </c>
    </row>
    <row r="335" spans="1:13">
      <c r="A335" s="3107">
        <v>6.6</v>
      </c>
      <c r="B335" s="3108">
        <v>0.71089999999999998</v>
      </c>
      <c r="C335" s="3108">
        <v>0.71089999999999998</v>
      </c>
      <c r="D335" s="3108">
        <v>0.66159999999999997</v>
      </c>
      <c r="E335" s="3108">
        <v>0.66159999999999997</v>
      </c>
      <c r="F335" s="3108">
        <v>0.66159999999999997</v>
      </c>
      <c r="G335" s="3108">
        <v>0.54800000000000004</v>
      </c>
      <c r="H335" s="3108">
        <v>0.54800000000000004</v>
      </c>
      <c r="I335" s="3108">
        <v>0.46839999999999998</v>
      </c>
      <c r="J335" s="3108">
        <v>0.46839999999999998</v>
      </c>
      <c r="K335" s="3108">
        <v>0.46839999999999998</v>
      </c>
      <c r="L335" s="3108">
        <v>0.46839999999999998</v>
      </c>
      <c r="M335" s="3109">
        <v>0.46839999999999998</v>
      </c>
    </row>
    <row r="336" spans="1:13">
      <c r="A336" s="3107">
        <v>6.7</v>
      </c>
      <c r="B336" s="3108">
        <v>0.70930000000000004</v>
      </c>
      <c r="C336" s="3108">
        <v>0.70930000000000004</v>
      </c>
      <c r="D336" s="3108">
        <v>0.65969999999999995</v>
      </c>
      <c r="E336" s="3108">
        <v>0.65969999999999995</v>
      </c>
      <c r="F336" s="3108">
        <v>0.65969999999999995</v>
      </c>
      <c r="G336" s="3108">
        <v>0.54579999999999995</v>
      </c>
      <c r="H336" s="3108">
        <v>0.54579999999999995</v>
      </c>
      <c r="I336" s="3108">
        <v>0.46629999999999999</v>
      </c>
      <c r="J336" s="3108">
        <v>0.46629999999999999</v>
      </c>
      <c r="K336" s="3108">
        <v>0.46629999999999999</v>
      </c>
      <c r="L336" s="3108">
        <v>0.46629999999999999</v>
      </c>
      <c r="M336" s="3109">
        <v>0.46629999999999999</v>
      </c>
    </row>
    <row r="337" spans="1:13">
      <c r="A337" s="3107">
        <v>6.8</v>
      </c>
      <c r="B337" s="3108">
        <v>0.7077</v>
      </c>
      <c r="C337" s="3108">
        <v>0.7077</v>
      </c>
      <c r="D337" s="3108">
        <v>0.65780000000000005</v>
      </c>
      <c r="E337" s="3108">
        <v>0.65780000000000005</v>
      </c>
      <c r="F337" s="3108">
        <v>0.65780000000000005</v>
      </c>
      <c r="G337" s="3108">
        <v>0.54359999999999997</v>
      </c>
      <c r="H337" s="3108">
        <v>0.54359999999999997</v>
      </c>
      <c r="I337" s="3108">
        <v>0.46410000000000001</v>
      </c>
      <c r="J337" s="3108">
        <v>0.46410000000000001</v>
      </c>
      <c r="K337" s="3108">
        <v>0.46410000000000001</v>
      </c>
      <c r="L337" s="3108">
        <v>0.46410000000000001</v>
      </c>
      <c r="M337" s="3109">
        <v>0.46410000000000001</v>
      </c>
    </row>
    <row r="338" spans="1:13">
      <c r="A338" s="3107">
        <v>6.9</v>
      </c>
      <c r="B338" s="3108">
        <v>0.70609999999999995</v>
      </c>
      <c r="C338" s="3108">
        <v>0.70609999999999995</v>
      </c>
      <c r="D338" s="3108">
        <v>0.65590000000000004</v>
      </c>
      <c r="E338" s="3108">
        <v>0.65590000000000004</v>
      </c>
      <c r="F338" s="3108">
        <v>0.65590000000000004</v>
      </c>
      <c r="G338" s="3108">
        <v>0.54139999999999999</v>
      </c>
      <c r="H338" s="3108">
        <v>0.54139999999999999</v>
      </c>
      <c r="I338" s="3108">
        <v>0.46200000000000002</v>
      </c>
      <c r="J338" s="3108">
        <v>0.46200000000000002</v>
      </c>
      <c r="K338" s="3108">
        <v>0.46200000000000002</v>
      </c>
      <c r="L338" s="3108">
        <v>0.46200000000000002</v>
      </c>
      <c r="M338" s="3109">
        <v>0.46200000000000002</v>
      </c>
    </row>
    <row r="339" spans="1:13">
      <c r="A339" s="3107">
        <v>7</v>
      </c>
      <c r="B339" s="3108">
        <v>0.70450000000000002</v>
      </c>
      <c r="C339" s="3108">
        <v>0.70450000000000002</v>
      </c>
      <c r="D339" s="3108">
        <v>0.65400000000000003</v>
      </c>
      <c r="E339" s="3108">
        <v>0.65400000000000003</v>
      </c>
      <c r="F339" s="3108">
        <v>0.65400000000000003</v>
      </c>
      <c r="G339" s="3108">
        <v>0.53920000000000001</v>
      </c>
      <c r="H339" s="3108">
        <v>0.53920000000000001</v>
      </c>
      <c r="I339" s="3108">
        <v>0.45979999999999999</v>
      </c>
      <c r="J339" s="3108">
        <v>0.45979999999999999</v>
      </c>
      <c r="K339" s="3108">
        <v>0.45979999999999999</v>
      </c>
      <c r="L339" s="3108">
        <v>0.45979999999999999</v>
      </c>
      <c r="M339" s="3109">
        <v>0.45979999999999999</v>
      </c>
    </row>
    <row r="340" spans="1:13">
      <c r="A340" s="3107">
        <v>7.1</v>
      </c>
      <c r="B340" s="3108">
        <v>0.70289999999999997</v>
      </c>
      <c r="C340" s="3108">
        <v>0.70289999999999997</v>
      </c>
      <c r="D340" s="3108">
        <v>0.65210000000000001</v>
      </c>
      <c r="E340" s="3108">
        <v>0.65210000000000001</v>
      </c>
      <c r="F340" s="3108">
        <v>0.65210000000000001</v>
      </c>
      <c r="G340" s="3108">
        <v>0.53710000000000002</v>
      </c>
      <c r="H340" s="3108">
        <v>0.53710000000000002</v>
      </c>
      <c r="I340" s="3108">
        <v>0.45779999999999998</v>
      </c>
      <c r="J340" s="3108">
        <v>0.45779999999999998</v>
      </c>
      <c r="K340" s="3108">
        <v>0.45779999999999998</v>
      </c>
      <c r="L340" s="3108">
        <v>0.45779999999999998</v>
      </c>
      <c r="M340" s="3109">
        <v>0.45779999999999998</v>
      </c>
    </row>
    <row r="341" spans="1:13">
      <c r="A341" s="3107">
        <v>7.2</v>
      </c>
      <c r="B341" s="3108">
        <v>0.70140000000000002</v>
      </c>
      <c r="C341" s="3108">
        <v>0.70140000000000002</v>
      </c>
      <c r="D341" s="3108">
        <v>0.6502</v>
      </c>
      <c r="E341" s="3108">
        <v>0.6502</v>
      </c>
      <c r="F341" s="3108">
        <v>0.6502</v>
      </c>
      <c r="G341" s="3108">
        <v>0.53500000000000003</v>
      </c>
      <c r="H341" s="3108">
        <v>0.53500000000000003</v>
      </c>
      <c r="I341" s="3108">
        <v>0.45569999999999999</v>
      </c>
      <c r="J341" s="3108">
        <v>0.45569999999999999</v>
      </c>
      <c r="K341" s="3108">
        <v>0.45569999999999999</v>
      </c>
      <c r="L341" s="3108">
        <v>0.45569999999999999</v>
      </c>
      <c r="M341" s="3109">
        <v>0.45569999999999999</v>
      </c>
    </row>
    <row r="342" spans="1:13">
      <c r="A342" s="3107">
        <v>7.3</v>
      </c>
      <c r="B342" s="3108">
        <v>0.69989999999999997</v>
      </c>
      <c r="C342" s="3108">
        <v>0.69989999999999997</v>
      </c>
      <c r="D342" s="3108">
        <v>0.64829999999999999</v>
      </c>
      <c r="E342" s="3108">
        <v>0.64829999999999999</v>
      </c>
      <c r="F342" s="3108">
        <v>0.64829999999999999</v>
      </c>
      <c r="G342" s="3108">
        <v>0.53290000000000004</v>
      </c>
      <c r="H342" s="3108">
        <v>0.53290000000000004</v>
      </c>
      <c r="I342" s="3108">
        <v>0.45369999999999999</v>
      </c>
      <c r="J342" s="3108">
        <v>0.45369999999999999</v>
      </c>
      <c r="K342" s="3108">
        <v>0.45369999999999999</v>
      </c>
      <c r="L342" s="3108">
        <v>0.45369999999999999</v>
      </c>
      <c r="M342" s="3109">
        <v>0.45369999999999999</v>
      </c>
    </row>
    <row r="343" spans="1:13">
      <c r="A343" s="3107">
        <v>7.4</v>
      </c>
      <c r="B343" s="3108">
        <v>0.69840000000000002</v>
      </c>
      <c r="C343" s="3108">
        <v>0.69840000000000002</v>
      </c>
      <c r="D343" s="3108">
        <v>0.64649999999999996</v>
      </c>
      <c r="E343" s="3108">
        <v>0.64649999999999996</v>
      </c>
      <c r="F343" s="3108">
        <v>0.64649999999999996</v>
      </c>
      <c r="G343" s="3108">
        <v>0.53080000000000005</v>
      </c>
      <c r="H343" s="3108">
        <v>0.53080000000000005</v>
      </c>
      <c r="I343" s="3108">
        <v>0.4516</v>
      </c>
      <c r="J343" s="3108">
        <v>0.4516</v>
      </c>
      <c r="K343" s="3108">
        <v>0.4516</v>
      </c>
      <c r="L343" s="3108">
        <v>0.4516</v>
      </c>
      <c r="M343" s="3109">
        <v>0.4516</v>
      </c>
    </row>
    <row r="344" spans="1:13">
      <c r="A344" s="3107">
        <v>7.5</v>
      </c>
      <c r="B344" s="3108">
        <v>0.69689999999999996</v>
      </c>
      <c r="C344" s="3108">
        <v>0.69689999999999996</v>
      </c>
      <c r="D344" s="3108">
        <v>0.64470000000000005</v>
      </c>
      <c r="E344" s="3108">
        <v>0.64470000000000005</v>
      </c>
      <c r="F344" s="3108">
        <v>0.64470000000000005</v>
      </c>
      <c r="G344" s="3108">
        <v>0.52869999999999995</v>
      </c>
      <c r="H344" s="3108">
        <v>0.52869999999999995</v>
      </c>
      <c r="I344" s="3108">
        <v>0.44950000000000001</v>
      </c>
      <c r="J344" s="3108">
        <v>0.44950000000000001</v>
      </c>
      <c r="K344" s="3108">
        <v>0.44950000000000001</v>
      </c>
      <c r="L344" s="3108">
        <v>0.44950000000000001</v>
      </c>
      <c r="M344" s="3109">
        <v>0.44950000000000001</v>
      </c>
    </row>
    <row r="345" spans="1:13">
      <c r="A345" s="3107">
        <v>7.6</v>
      </c>
      <c r="B345" s="3108">
        <v>0.69540000000000002</v>
      </c>
      <c r="C345" s="3108">
        <v>0.69540000000000002</v>
      </c>
      <c r="D345" s="3108">
        <v>0.64290000000000003</v>
      </c>
      <c r="E345" s="3108">
        <v>0.64290000000000003</v>
      </c>
      <c r="F345" s="3108">
        <v>0.64290000000000003</v>
      </c>
      <c r="G345" s="3108">
        <v>0.52659999999999996</v>
      </c>
      <c r="H345" s="3108">
        <v>0.52659999999999996</v>
      </c>
      <c r="I345" s="3108">
        <v>0.44750000000000001</v>
      </c>
      <c r="J345" s="3108">
        <v>0.44750000000000001</v>
      </c>
      <c r="K345" s="3108">
        <v>0.44750000000000001</v>
      </c>
      <c r="L345" s="3108">
        <v>0.44750000000000001</v>
      </c>
      <c r="M345" s="3109">
        <v>0.44750000000000001</v>
      </c>
    </row>
    <row r="346" spans="1:13">
      <c r="A346" s="3107">
        <v>7.7</v>
      </c>
      <c r="B346" s="3108">
        <v>0.69389999999999996</v>
      </c>
      <c r="C346" s="3108">
        <v>0.69389999999999996</v>
      </c>
      <c r="D346" s="3108">
        <v>0.6411</v>
      </c>
      <c r="E346" s="3108">
        <v>0.6411</v>
      </c>
      <c r="F346" s="3108">
        <v>0.6411</v>
      </c>
      <c r="G346" s="3108">
        <v>0.52459999999999996</v>
      </c>
      <c r="H346" s="3108">
        <v>0.52459999999999996</v>
      </c>
      <c r="I346" s="3108">
        <v>0.44540000000000002</v>
      </c>
      <c r="J346" s="3108">
        <v>0.44540000000000002</v>
      </c>
      <c r="K346" s="3108">
        <v>0.44540000000000002</v>
      </c>
      <c r="L346" s="3108">
        <v>0.44540000000000002</v>
      </c>
      <c r="M346" s="3109">
        <v>0.44540000000000002</v>
      </c>
    </row>
    <row r="347" spans="1:13">
      <c r="A347" s="3107">
        <v>7.8</v>
      </c>
      <c r="B347" s="3108">
        <v>0.69240000000000002</v>
      </c>
      <c r="C347" s="3108">
        <v>0.69240000000000002</v>
      </c>
      <c r="D347" s="3108">
        <v>0.63929999999999998</v>
      </c>
      <c r="E347" s="3108">
        <v>0.63929999999999998</v>
      </c>
      <c r="F347" s="3108">
        <v>0.63929999999999998</v>
      </c>
      <c r="G347" s="3108">
        <v>0.52259999999999995</v>
      </c>
      <c r="H347" s="3108">
        <v>0.52259999999999995</v>
      </c>
      <c r="I347" s="3108">
        <v>0.44340000000000002</v>
      </c>
      <c r="J347" s="3108">
        <v>0.44340000000000002</v>
      </c>
      <c r="K347" s="3108">
        <v>0.44340000000000002</v>
      </c>
      <c r="L347" s="3108">
        <v>0.44340000000000002</v>
      </c>
      <c r="M347" s="3109">
        <v>0.44340000000000002</v>
      </c>
    </row>
    <row r="348" spans="1:13">
      <c r="A348" s="3107">
        <v>7.9</v>
      </c>
      <c r="B348" s="3108">
        <v>0.69099999999999995</v>
      </c>
      <c r="C348" s="3108">
        <v>0.69099999999999995</v>
      </c>
      <c r="D348" s="3108">
        <v>0.63749999999999996</v>
      </c>
      <c r="E348" s="3108">
        <v>0.63749999999999996</v>
      </c>
      <c r="F348" s="3108">
        <v>0.63749999999999996</v>
      </c>
      <c r="G348" s="3108">
        <v>0.52059999999999995</v>
      </c>
      <c r="H348" s="3108">
        <v>0.52059999999999995</v>
      </c>
      <c r="I348" s="3108">
        <v>0.44130000000000003</v>
      </c>
      <c r="J348" s="3108">
        <v>0.44130000000000003</v>
      </c>
      <c r="K348" s="3108">
        <v>0.44130000000000003</v>
      </c>
      <c r="L348" s="3108">
        <v>0.44130000000000003</v>
      </c>
      <c r="M348" s="3109">
        <v>0.44130000000000003</v>
      </c>
    </row>
    <row r="349" spans="1:13">
      <c r="A349" s="3107">
        <v>8</v>
      </c>
      <c r="B349" s="3108">
        <v>0.68959999999999999</v>
      </c>
      <c r="C349" s="3108">
        <v>0.68959999999999999</v>
      </c>
      <c r="D349" s="3108">
        <v>0.63570000000000004</v>
      </c>
      <c r="E349" s="3108">
        <v>0.63570000000000004</v>
      </c>
      <c r="F349" s="3108">
        <v>0.63570000000000004</v>
      </c>
      <c r="G349" s="3108">
        <v>0.51859999999999995</v>
      </c>
      <c r="H349" s="3108">
        <v>0.51859999999999995</v>
      </c>
      <c r="I349" s="3108">
        <v>0.43919999999999998</v>
      </c>
      <c r="J349" s="3108">
        <v>0.43919999999999998</v>
      </c>
      <c r="K349" s="3108">
        <v>0.43919999999999998</v>
      </c>
      <c r="L349" s="3108">
        <v>0.43919999999999998</v>
      </c>
      <c r="M349" s="3109">
        <v>0.43919999999999998</v>
      </c>
    </row>
    <row r="350" spans="1:13">
      <c r="A350" s="3107">
        <v>8.1</v>
      </c>
      <c r="B350" s="3108">
        <v>0.68820000000000003</v>
      </c>
      <c r="C350" s="3108">
        <v>0.68820000000000003</v>
      </c>
      <c r="D350" s="3108">
        <v>0.63390000000000002</v>
      </c>
      <c r="E350" s="3108">
        <v>0.63390000000000002</v>
      </c>
      <c r="F350" s="3108">
        <v>0.63390000000000002</v>
      </c>
      <c r="G350" s="3108">
        <v>0.51659999999999995</v>
      </c>
      <c r="H350" s="3108">
        <v>0.51659999999999995</v>
      </c>
      <c r="I350" s="3108">
        <v>0.43730000000000002</v>
      </c>
      <c r="J350" s="3108">
        <v>0.43730000000000002</v>
      </c>
      <c r="K350" s="3108">
        <v>0.43730000000000002</v>
      </c>
      <c r="L350" s="3108">
        <v>0.43730000000000002</v>
      </c>
      <c r="M350" s="3109">
        <v>0.43730000000000002</v>
      </c>
    </row>
    <row r="351" spans="1:13">
      <c r="A351" s="3107">
        <v>8.1999999999999993</v>
      </c>
      <c r="B351" s="3108">
        <v>0.68679999999999997</v>
      </c>
      <c r="C351" s="3108">
        <v>0.68679999999999997</v>
      </c>
      <c r="D351" s="3108">
        <v>0.63219999999999998</v>
      </c>
      <c r="E351" s="3108">
        <v>0.63219999999999998</v>
      </c>
      <c r="F351" s="3108">
        <v>0.63219999999999998</v>
      </c>
      <c r="G351" s="3108">
        <v>0.51459999999999995</v>
      </c>
      <c r="H351" s="3108">
        <v>0.51459999999999995</v>
      </c>
      <c r="I351" s="3108">
        <v>0.43530000000000002</v>
      </c>
      <c r="J351" s="3108">
        <v>0.43530000000000002</v>
      </c>
      <c r="K351" s="3108">
        <v>0.43530000000000002</v>
      </c>
      <c r="L351" s="3108">
        <v>0.43530000000000002</v>
      </c>
      <c r="M351" s="3109">
        <v>0.43530000000000002</v>
      </c>
    </row>
    <row r="352" spans="1:13">
      <c r="A352" s="3107">
        <v>8.3000000000000007</v>
      </c>
      <c r="B352" s="3108">
        <v>0.68540000000000001</v>
      </c>
      <c r="C352" s="3108">
        <v>0.68540000000000001</v>
      </c>
      <c r="D352" s="3108">
        <v>0.63049999999999995</v>
      </c>
      <c r="E352" s="3108">
        <v>0.63049999999999995</v>
      </c>
      <c r="F352" s="3108">
        <v>0.63049999999999995</v>
      </c>
      <c r="G352" s="3108">
        <v>0.51259999999999994</v>
      </c>
      <c r="H352" s="3108">
        <v>0.51259999999999994</v>
      </c>
      <c r="I352" s="3108">
        <v>0.43330000000000002</v>
      </c>
      <c r="J352" s="3108">
        <v>0.43330000000000002</v>
      </c>
      <c r="K352" s="3108">
        <v>0.43330000000000002</v>
      </c>
      <c r="L352" s="3108">
        <v>0.43330000000000002</v>
      </c>
      <c r="M352" s="3109">
        <v>0.43330000000000002</v>
      </c>
    </row>
    <row r="353" spans="1:13">
      <c r="A353" s="3107">
        <v>8.4</v>
      </c>
      <c r="B353" s="3108">
        <v>0.68400000000000005</v>
      </c>
      <c r="C353" s="3108">
        <v>0.68400000000000005</v>
      </c>
      <c r="D353" s="3108">
        <v>0.62880000000000003</v>
      </c>
      <c r="E353" s="3108">
        <v>0.62880000000000003</v>
      </c>
      <c r="F353" s="3108">
        <v>0.62880000000000003</v>
      </c>
      <c r="G353" s="3108">
        <v>0.51070000000000004</v>
      </c>
      <c r="H353" s="3108">
        <v>0.51070000000000004</v>
      </c>
      <c r="I353" s="3108">
        <v>0.43130000000000002</v>
      </c>
      <c r="J353" s="3108">
        <v>0.43130000000000002</v>
      </c>
      <c r="K353" s="3108">
        <v>0.43130000000000002</v>
      </c>
      <c r="L353" s="3108">
        <v>0.43130000000000002</v>
      </c>
      <c r="M353" s="3109">
        <v>0.43130000000000002</v>
      </c>
    </row>
    <row r="354" spans="1:13">
      <c r="A354" s="3107">
        <v>8.5</v>
      </c>
      <c r="B354" s="3108">
        <v>0.68259999999999998</v>
      </c>
      <c r="C354" s="3108">
        <v>0.68259999999999998</v>
      </c>
      <c r="D354" s="3108">
        <v>0.62709999999999999</v>
      </c>
      <c r="E354" s="3108">
        <v>0.62709999999999999</v>
      </c>
      <c r="F354" s="3108">
        <v>0.62709999999999999</v>
      </c>
      <c r="G354" s="3108">
        <v>0.50880000000000003</v>
      </c>
      <c r="H354" s="3108">
        <v>0.50880000000000003</v>
      </c>
      <c r="I354" s="3108">
        <v>0.4294</v>
      </c>
      <c r="J354" s="3108">
        <v>0.4294</v>
      </c>
      <c r="K354" s="3108">
        <v>0.4294</v>
      </c>
      <c r="L354" s="3108">
        <v>0.4294</v>
      </c>
      <c r="M354" s="3109">
        <v>0.4294</v>
      </c>
    </row>
    <row r="355" spans="1:13">
      <c r="A355" s="3107">
        <v>8.6</v>
      </c>
      <c r="B355" s="3108">
        <v>0.68120000000000003</v>
      </c>
      <c r="C355" s="3108">
        <v>0.68120000000000003</v>
      </c>
      <c r="D355" s="3108">
        <v>0.62539999999999996</v>
      </c>
      <c r="E355" s="3108">
        <v>0.62539999999999996</v>
      </c>
      <c r="F355" s="3108">
        <v>0.62539999999999996</v>
      </c>
      <c r="G355" s="3108">
        <v>0.50690000000000002</v>
      </c>
      <c r="H355" s="3108">
        <v>0.50690000000000002</v>
      </c>
      <c r="I355" s="3108">
        <v>0.4274</v>
      </c>
      <c r="J355" s="3108">
        <v>0.4274</v>
      </c>
      <c r="K355" s="3108">
        <v>0.4274</v>
      </c>
      <c r="L355" s="3108">
        <v>0.4274</v>
      </c>
      <c r="M355" s="3109">
        <v>0.4274</v>
      </c>
    </row>
    <row r="356" spans="1:13">
      <c r="A356" s="3107">
        <v>8.6999999999999993</v>
      </c>
      <c r="B356" s="3108">
        <v>0.67989999999999995</v>
      </c>
      <c r="C356" s="3108">
        <v>0.67989999999999995</v>
      </c>
      <c r="D356" s="3108">
        <v>0.62370000000000003</v>
      </c>
      <c r="E356" s="3108">
        <v>0.62370000000000003</v>
      </c>
      <c r="F356" s="3108">
        <v>0.62370000000000003</v>
      </c>
      <c r="G356" s="3108">
        <v>0.505</v>
      </c>
      <c r="H356" s="3108">
        <v>0.505</v>
      </c>
      <c r="I356" s="3108">
        <v>0.4254</v>
      </c>
      <c r="J356" s="3108">
        <v>0.4254</v>
      </c>
      <c r="K356" s="3108">
        <v>0.4254</v>
      </c>
      <c r="L356" s="3108">
        <v>0.4254</v>
      </c>
      <c r="M356" s="3109">
        <v>0.4254</v>
      </c>
    </row>
    <row r="357" spans="1:13">
      <c r="A357" s="3107">
        <v>8.8000000000000007</v>
      </c>
      <c r="B357" s="3108">
        <v>0.67859999999999998</v>
      </c>
      <c r="C357" s="3108">
        <v>0.67859999999999998</v>
      </c>
      <c r="D357" s="3108">
        <v>0.622</v>
      </c>
      <c r="E357" s="3108">
        <v>0.622</v>
      </c>
      <c r="F357" s="3108">
        <v>0.622</v>
      </c>
      <c r="G357" s="3108">
        <v>0.50309999999999999</v>
      </c>
      <c r="H357" s="3108">
        <v>0.50309999999999999</v>
      </c>
      <c r="I357" s="3108">
        <v>0.4234</v>
      </c>
      <c r="J357" s="3108">
        <v>0.4234</v>
      </c>
      <c r="K357" s="3108">
        <v>0.4234</v>
      </c>
      <c r="L357" s="3108">
        <v>0.4234</v>
      </c>
      <c r="M357" s="3109">
        <v>0.4234</v>
      </c>
    </row>
    <row r="358" spans="1:13">
      <c r="A358" s="3107">
        <v>8.9</v>
      </c>
      <c r="B358" s="3108">
        <v>0.67730000000000001</v>
      </c>
      <c r="C358" s="3108">
        <v>0.67730000000000001</v>
      </c>
      <c r="D358" s="3108">
        <v>0.62029999999999996</v>
      </c>
      <c r="E358" s="3108">
        <v>0.62029999999999996</v>
      </c>
      <c r="F358" s="3108">
        <v>0.62029999999999996</v>
      </c>
      <c r="G358" s="3108">
        <v>0.50119999999999998</v>
      </c>
      <c r="H358" s="3108">
        <v>0.50119999999999998</v>
      </c>
      <c r="I358" s="3108">
        <v>0.42149999999999999</v>
      </c>
      <c r="J358" s="3108">
        <v>0.42149999999999999</v>
      </c>
      <c r="K358" s="3108">
        <v>0.42149999999999999</v>
      </c>
      <c r="L358" s="3108">
        <v>0.42149999999999999</v>
      </c>
      <c r="M358" s="3109">
        <v>0.42149999999999999</v>
      </c>
    </row>
    <row r="359" spans="1:13">
      <c r="A359" s="3110">
        <v>9</v>
      </c>
      <c r="B359" s="3108">
        <v>0.67600000000000005</v>
      </c>
      <c r="C359" s="3108">
        <v>0.67600000000000005</v>
      </c>
      <c r="D359" s="3108">
        <v>0.61870000000000003</v>
      </c>
      <c r="E359" s="3108">
        <v>0.61870000000000003</v>
      </c>
      <c r="F359" s="3108">
        <v>0.61870000000000003</v>
      </c>
      <c r="G359" s="3108">
        <v>0.49930000000000002</v>
      </c>
      <c r="H359" s="3108">
        <v>0.49930000000000002</v>
      </c>
      <c r="I359" s="3108">
        <v>0.41949999999999998</v>
      </c>
      <c r="J359" s="3108">
        <v>0.41949999999999998</v>
      </c>
      <c r="K359" s="3108">
        <v>0.41949999999999998</v>
      </c>
      <c r="L359" s="3108">
        <v>0.41949999999999998</v>
      </c>
      <c r="M359" s="3109">
        <v>0.41949999999999998</v>
      </c>
    </row>
    <row r="360" spans="1:13">
      <c r="A360" s="3110">
        <v>9.1</v>
      </c>
      <c r="B360" s="3108">
        <v>0.67469999999999997</v>
      </c>
      <c r="C360" s="3108">
        <v>0.67469999999999997</v>
      </c>
      <c r="D360" s="3108">
        <v>0.61709999999999998</v>
      </c>
      <c r="E360" s="3108">
        <v>0.61709999999999998</v>
      </c>
      <c r="F360" s="3108">
        <v>0.61709999999999998</v>
      </c>
      <c r="G360" s="3108">
        <v>0.49740000000000001</v>
      </c>
      <c r="H360" s="3108">
        <v>0.49740000000000001</v>
      </c>
      <c r="I360" s="3108">
        <v>0.41760000000000003</v>
      </c>
      <c r="J360" s="3108">
        <v>0.41760000000000003</v>
      </c>
      <c r="K360" s="3108">
        <v>0.41760000000000003</v>
      </c>
      <c r="L360" s="3108">
        <v>0.41760000000000003</v>
      </c>
      <c r="M360" s="3109">
        <v>0.41760000000000003</v>
      </c>
    </row>
    <row r="361" spans="1:13">
      <c r="A361" s="3110">
        <v>9.1999999999999993</v>
      </c>
      <c r="B361" s="3108">
        <v>0.6734</v>
      </c>
      <c r="C361" s="3108">
        <v>0.6734</v>
      </c>
      <c r="D361" s="3108">
        <v>0.61550000000000005</v>
      </c>
      <c r="E361" s="3108">
        <v>0.61550000000000005</v>
      </c>
      <c r="F361" s="3108">
        <v>0.61550000000000005</v>
      </c>
      <c r="G361" s="3108">
        <v>0.49559999999999998</v>
      </c>
      <c r="H361" s="3108">
        <v>0.49559999999999998</v>
      </c>
      <c r="I361" s="3108">
        <v>0.41570000000000001</v>
      </c>
      <c r="J361" s="3108">
        <v>0.41570000000000001</v>
      </c>
      <c r="K361" s="3108">
        <v>0.41570000000000001</v>
      </c>
      <c r="L361" s="3108">
        <v>0.41570000000000001</v>
      </c>
      <c r="M361" s="3109">
        <v>0.41570000000000001</v>
      </c>
    </row>
    <row r="362" spans="1:13">
      <c r="A362" s="3110">
        <v>9.3000000000000007</v>
      </c>
      <c r="B362" s="3108">
        <v>0.67210000000000003</v>
      </c>
      <c r="C362" s="3108">
        <v>0.67210000000000003</v>
      </c>
      <c r="D362" s="3108">
        <v>0.6139</v>
      </c>
      <c r="E362" s="3108">
        <v>0.6139</v>
      </c>
      <c r="F362" s="3108">
        <v>0.6139</v>
      </c>
      <c r="G362" s="3108">
        <v>0.49380000000000002</v>
      </c>
      <c r="H362" s="3108">
        <v>0.49380000000000002</v>
      </c>
      <c r="I362" s="3108">
        <v>0.4138</v>
      </c>
      <c r="J362" s="3108">
        <v>0.4138</v>
      </c>
      <c r="K362" s="3108">
        <v>0.4138</v>
      </c>
      <c r="L362" s="3108">
        <v>0.4138</v>
      </c>
      <c r="M362" s="3109">
        <v>0.4138</v>
      </c>
    </row>
    <row r="363" spans="1:13">
      <c r="A363" s="3110">
        <v>9.4</v>
      </c>
      <c r="B363" s="3108">
        <v>0.67079999999999995</v>
      </c>
      <c r="C363" s="3108">
        <v>0.67079999999999995</v>
      </c>
      <c r="D363" s="3108">
        <v>0.61229999999999996</v>
      </c>
      <c r="E363" s="3108">
        <v>0.61229999999999996</v>
      </c>
      <c r="F363" s="3108">
        <v>0.61229999999999996</v>
      </c>
      <c r="G363" s="3108">
        <v>0.49199999999999999</v>
      </c>
      <c r="H363" s="3108">
        <v>0.49199999999999999</v>
      </c>
      <c r="I363" s="3108">
        <v>0.41189999999999999</v>
      </c>
      <c r="J363" s="3108">
        <v>0.41189999999999999</v>
      </c>
      <c r="K363" s="3108">
        <v>0.41189999999999999</v>
      </c>
      <c r="L363" s="3108">
        <v>0.41189999999999999</v>
      </c>
      <c r="M363" s="3109">
        <v>0.41189999999999999</v>
      </c>
    </row>
    <row r="364" spans="1:13">
      <c r="A364" s="3110">
        <v>9.5</v>
      </c>
      <c r="B364" s="3108">
        <v>0.66959999999999997</v>
      </c>
      <c r="C364" s="3108">
        <v>0.66959999999999997</v>
      </c>
      <c r="D364" s="3108">
        <v>0.61070000000000002</v>
      </c>
      <c r="E364" s="3108">
        <v>0.61070000000000002</v>
      </c>
      <c r="F364" s="3108">
        <v>0.61070000000000002</v>
      </c>
      <c r="G364" s="3108">
        <v>0.49020000000000002</v>
      </c>
      <c r="H364" s="3108">
        <v>0.49020000000000002</v>
      </c>
      <c r="I364" s="3108">
        <v>0.41</v>
      </c>
      <c r="J364" s="3108">
        <v>0.41</v>
      </c>
      <c r="K364" s="3108">
        <v>0.41</v>
      </c>
      <c r="L364" s="3108">
        <v>0.41</v>
      </c>
      <c r="M364" s="3109">
        <v>0.41</v>
      </c>
    </row>
    <row r="365" spans="1:13">
      <c r="A365" s="3110">
        <v>9.6</v>
      </c>
      <c r="B365" s="3108">
        <v>0.66839999999999999</v>
      </c>
      <c r="C365" s="3108">
        <v>0.66839999999999999</v>
      </c>
      <c r="D365" s="3108">
        <v>0.60909999999999997</v>
      </c>
      <c r="E365" s="3108">
        <v>0.60909999999999997</v>
      </c>
      <c r="F365" s="3108">
        <v>0.60909999999999997</v>
      </c>
      <c r="G365" s="3108">
        <v>0.4884</v>
      </c>
      <c r="H365" s="3108">
        <v>0.4884</v>
      </c>
      <c r="I365" s="3108">
        <v>0.40810000000000002</v>
      </c>
      <c r="J365" s="3108">
        <v>0.40810000000000002</v>
      </c>
      <c r="K365" s="3108">
        <v>0.40810000000000002</v>
      </c>
      <c r="L365" s="3108">
        <v>0.40810000000000002</v>
      </c>
      <c r="M365" s="3109">
        <v>0.40810000000000002</v>
      </c>
    </row>
    <row r="366" spans="1:13">
      <c r="A366" s="3110">
        <v>9.6999999999999993</v>
      </c>
      <c r="B366" s="3108">
        <v>0.66720000000000002</v>
      </c>
      <c r="C366" s="3108">
        <v>0.66720000000000002</v>
      </c>
      <c r="D366" s="3108">
        <v>0.60750000000000004</v>
      </c>
      <c r="E366" s="3108">
        <v>0.60750000000000004</v>
      </c>
      <c r="F366" s="3108">
        <v>0.60750000000000004</v>
      </c>
      <c r="G366" s="3108">
        <v>0.48659999999999998</v>
      </c>
      <c r="H366" s="3108">
        <v>0.48659999999999998</v>
      </c>
      <c r="I366" s="3108">
        <v>0.40620000000000001</v>
      </c>
      <c r="J366" s="3108">
        <v>0.40620000000000001</v>
      </c>
      <c r="K366" s="3108">
        <v>0.40620000000000001</v>
      </c>
      <c r="L366" s="3108">
        <v>0.40620000000000001</v>
      </c>
      <c r="M366" s="3109">
        <v>0.40620000000000001</v>
      </c>
    </row>
    <row r="367" spans="1:13">
      <c r="A367" s="3110">
        <v>9.8000000000000007</v>
      </c>
      <c r="B367" s="3108">
        <v>0.66600000000000004</v>
      </c>
      <c r="C367" s="3108">
        <v>0.66600000000000004</v>
      </c>
      <c r="D367" s="3108">
        <v>0.60599999999999998</v>
      </c>
      <c r="E367" s="3108">
        <v>0.60599999999999998</v>
      </c>
      <c r="F367" s="3108">
        <v>0.60599999999999998</v>
      </c>
      <c r="G367" s="3108">
        <v>0.48480000000000001</v>
      </c>
      <c r="H367" s="3108">
        <v>0.48480000000000001</v>
      </c>
      <c r="I367" s="3108">
        <v>0.40429999999999999</v>
      </c>
      <c r="J367" s="3108">
        <v>0.40429999999999999</v>
      </c>
      <c r="K367" s="3108">
        <v>0.40429999999999999</v>
      </c>
      <c r="L367" s="3108">
        <v>0.40429999999999999</v>
      </c>
      <c r="M367" s="3109">
        <v>0.40429999999999999</v>
      </c>
    </row>
    <row r="368" spans="1:13" ht="14.25" thickBot="1">
      <c r="A368" s="3111">
        <v>9.9</v>
      </c>
      <c r="B368" s="3112">
        <v>0.66479999999999995</v>
      </c>
      <c r="C368" s="3112">
        <v>0.66479999999999995</v>
      </c>
      <c r="D368" s="3112">
        <v>0.60450000000000004</v>
      </c>
      <c r="E368" s="3112">
        <v>0.60450000000000004</v>
      </c>
      <c r="F368" s="3112">
        <v>0.60450000000000004</v>
      </c>
      <c r="G368" s="3112">
        <v>0.48299999999999998</v>
      </c>
      <c r="H368" s="3112">
        <v>0.48299999999999998</v>
      </c>
      <c r="I368" s="3112">
        <v>0.40239999999999998</v>
      </c>
      <c r="J368" s="3112">
        <v>0.40239999999999998</v>
      </c>
      <c r="K368" s="3112">
        <v>0.40239999999999998</v>
      </c>
      <c r="L368" s="3112">
        <v>0.40239999999999998</v>
      </c>
      <c r="M368" s="3113">
        <v>0.40239999999999998</v>
      </c>
    </row>
    <row r="369" spans="1:20" ht="15" thickBot="1">
      <c r="A369" s="3101" t="s">
        <v>2779</v>
      </c>
      <c r="B369" s="3114"/>
      <c r="C369" s="3114"/>
      <c r="D369" s="3114"/>
      <c r="E369" s="3114"/>
      <c r="F369" s="3114"/>
      <c r="G369" s="3114"/>
      <c r="H369" s="3114"/>
      <c r="I369" s="3114"/>
      <c r="J369" s="3114"/>
      <c r="K369" s="3114"/>
      <c r="L369" s="3114"/>
      <c r="M369" s="3114"/>
    </row>
    <row r="370" spans="1:20">
      <c r="A370" s="3102" t="s">
        <v>2775</v>
      </c>
      <c r="B370" s="3103" t="s">
        <v>2571</v>
      </c>
      <c r="C370" s="3103" t="s">
        <v>2572</v>
      </c>
      <c r="D370" s="3103" t="s">
        <v>2573</v>
      </c>
      <c r="E370" s="3103" t="s">
        <v>2574</v>
      </c>
      <c r="F370" s="3103" t="s">
        <v>2575</v>
      </c>
      <c r="G370" s="3103" t="s">
        <v>2576</v>
      </c>
      <c r="H370" s="3104" t="s">
        <v>2577</v>
      </c>
      <c r="I370" s="3104" t="s">
        <v>2578</v>
      </c>
      <c r="J370" s="3105" t="s">
        <v>2579</v>
      </c>
      <c r="K370" s="3105" t="s">
        <v>2580</v>
      </c>
      <c r="L370" s="3105" t="s">
        <v>2581</v>
      </c>
      <c r="M370" s="3106" t="s">
        <v>2582</v>
      </c>
      <c r="N370" s="750">
        <f>SUMPRODUCT((A371:A460=ROUNDDOWN(基准地价修正!G3,1))*(B370:M370=基准地价修正!G2)*(B371:M460))</f>
        <v>1.1565000000000001</v>
      </c>
      <c r="Q370" s="3116" t="s">
        <v>2780</v>
      </c>
      <c r="R370" s="3116" t="s">
        <v>2781</v>
      </c>
      <c r="S370" s="3116" t="s">
        <v>2782</v>
      </c>
      <c r="T370" s="3116" t="s">
        <v>2783</v>
      </c>
    </row>
    <row r="371" spans="1:20">
      <c r="A371" s="3107">
        <v>1</v>
      </c>
      <c r="B371" s="3108">
        <v>1.1839999999999999</v>
      </c>
      <c r="C371" s="3108">
        <v>1.1839999999999999</v>
      </c>
      <c r="D371" s="3108">
        <v>1.1565000000000001</v>
      </c>
      <c r="E371" s="3108">
        <v>1.1565000000000001</v>
      </c>
      <c r="F371" s="3108">
        <v>1.1565000000000001</v>
      </c>
      <c r="G371" s="3108">
        <v>1.1565000000000001</v>
      </c>
      <c r="H371" s="3108">
        <v>1.1565000000000001</v>
      </c>
      <c r="I371" s="3108">
        <v>1.1198999999999999</v>
      </c>
      <c r="J371" s="3108">
        <v>1.1198999999999999</v>
      </c>
      <c r="K371" s="3108">
        <v>1.1198999999999999</v>
      </c>
      <c r="L371" s="3108">
        <v>1.1198999999999999</v>
      </c>
      <c r="M371" s="3109">
        <v>1.1198999999999999</v>
      </c>
      <c r="Q371" s="3116">
        <v>10</v>
      </c>
      <c r="R371" s="3116">
        <f>ROUND(0.9404-0.0106*Q371,4)</f>
        <v>0.83440000000000003</v>
      </c>
      <c r="S371" s="3116">
        <f>ROUND(0.8955-0.0135*Q371,4)</f>
        <v>0.76049999999999995</v>
      </c>
      <c r="T371" s="3116">
        <f>ROUND(0.7632-0.0166*Q371,4)</f>
        <v>0.59719999999999995</v>
      </c>
    </row>
    <row r="372" spans="1:20">
      <c r="A372" s="3107">
        <v>1.1000000000000001</v>
      </c>
      <c r="B372" s="3108">
        <v>1.1658999999999999</v>
      </c>
      <c r="C372" s="3108">
        <v>1.1658999999999999</v>
      </c>
      <c r="D372" s="3108">
        <v>1.1364000000000001</v>
      </c>
      <c r="E372" s="3108">
        <v>1.1364000000000001</v>
      </c>
      <c r="F372" s="3108">
        <v>1.1364000000000001</v>
      </c>
      <c r="G372" s="3108">
        <v>1.1364000000000001</v>
      </c>
      <c r="H372" s="3108">
        <v>1.1364000000000001</v>
      </c>
      <c r="I372" s="3108">
        <v>1.0931</v>
      </c>
      <c r="J372" s="3108">
        <v>1.0931</v>
      </c>
      <c r="K372" s="3108">
        <v>1.0931</v>
      </c>
      <c r="L372" s="3108">
        <v>1.0931</v>
      </c>
      <c r="M372" s="3109">
        <v>1.0931</v>
      </c>
    </row>
    <row r="373" spans="1:20">
      <c r="A373" s="3107">
        <v>1.2</v>
      </c>
      <c r="B373" s="3108">
        <v>1.1489</v>
      </c>
      <c r="C373" s="3108">
        <v>1.1489</v>
      </c>
      <c r="D373" s="3108">
        <v>1.1174999999999999</v>
      </c>
      <c r="E373" s="3108">
        <v>1.1174999999999999</v>
      </c>
      <c r="F373" s="3108">
        <v>1.1174999999999999</v>
      </c>
      <c r="G373" s="3108">
        <v>1.1174999999999999</v>
      </c>
      <c r="H373" s="3108">
        <v>1.1174999999999999</v>
      </c>
      <c r="I373" s="3108">
        <v>1.0678000000000001</v>
      </c>
      <c r="J373" s="3108">
        <v>1.0678000000000001</v>
      </c>
      <c r="K373" s="3108">
        <v>1.0678000000000001</v>
      </c>
      <c r="L373" s="3108">
        <v>1.0678000000000001</v>
      </c>
      <c r="M373" s="3109">
        <v>1.0678000000000001</v>
      </c>
    </row>
    <row r="374" spans="1:20">
      <c r="A374" s="3107">
        <v>1.3</v>
      </c>
      <c r="B374" s="3108">
        <v>1.1328</v>
      </c>
      <c r="C374" s="3108">
        <v>1.1328</v>
      </c>
      <c r="D374" s="3108">
        <v>1.0995999999999999</v>
      </c>
      <c r="E374" s="3108">
        <v>1.0995999999999999</v>
      </c>
      <c r="F374" s="3108">
        <v>1.0995999999999999</v>
      </c>
      <c r="G374" s="3108">
        <v>1.0995999999999999</v>
      </c>
      <c r="H374" s="3108">
        <v>1.0995999999999999</v>
      </c>
      <c r="I374" s="3108">
        <v>1.044</v>
      </c>
      <c r="J374" s="3108">
        <v>1.044</v>
      </c>
      <c r="K374" s="3108">
        <v>1.044</v>
      </c>
      <c r="L374" s="3108">
        <v>1.044</v>
      </c>
      <c r="M374" s="3109">
        <v>1.044</v>
      </c>
    </row>
    <row r="375" spans="1:20">
      <c r="A375" s="3107">
        <v>1.4</v>
      </c>
      <c r="B375" s="3108">
        <v>1.1175999999999999</v>
      </c>
      <c r="C375" s="3108">
        <v>1.1175999999999999</v>
      </c>
      <c r="D375" s="3108">
        <v>1.0827</v>
      </c>
      <c r="E375" s="3108">
        <v>1.0827</v>
      </c>
      <c r="F375" s="3108">
        <v>1.0827</v>
      </c>
      <c r="G375" s="3108">
        <v>1.0827</v>
      </c>
      <c r="H375" s="3108">
        <v>1.0827</v>
      </c>
      <c r="I375" s="3108">
        <v>1.0214000000000001</v>
      </c>
      <c r="J375" s="3108">
        <v>1.0214000000000001</v>
      </c>
      <c r="K375" s="3108">
        <v>1.0214000000000001</v>
      </c>
      <c r="L375" s="3108">
        <v>1.0214000000000001</v>
      </c>
      <c r="M375" s="3109">
        <v>1.0214000000000001</v>
      </c>
    </row>
    <row r="376" spans="1:20">
      <c r="A376" s="3107">
        <v>1.5</v>
      </c>
      <c r="B376" s="3108">
        <v>1.1032999999999999</v>
      </c>
      <c r="C376" s="3108">
        <v>1.1032999999999999</v>
      </c>
      <c r="D376" s="3108">
        <v>1.0668</v>
      </c>
      <c r="E376" s="3108">
        <v>1.0668</v>
      </c>
      <c r="F376" s="3108">
        <v>1.0668</v>
      </c>
      <c r="G376" s="3108">
        <v>1.0668</v>
      </c>
      <c r="H376" s="3108">
        <v>1.0668</v>
      </c>
      <c r="I376" s="3108">
        <v>1</v>
      </c>
      <c r="J376" s="3108">
        <v>1</v>
      </c>
      <c r="K376" s="3108">
        <v>1</v>
      </c>
      <c r="L376" s="3108">
        <v>1</v>
      </c>
      <c r="M376" s="3109">
        <v>1</v>
      </c>
    </row>
    <row r="377" spans="1:20">
      <c r="A377" s="3107">
        <v>1.6</v>
      </c>
      <c r="B377" s="3108">
        <v>1.0899000000000001</v>
      </c>
      <c r="C377" s="3108">
        <v>1.0899000000000001</v>
      </c>
      <c r="D377" s="3108">
        <v>1.0517000000000001</v>
      </c>
      <c r="E377" s="3108">
        <v>1.0517000000000001</v>
      </c>
      <c r="F377" s="3108">
        <v>1.0517000000000001</v>
      </c>
      <c r="G377" s="3108">
        <v>1.0517000000000001</v>
      </c>
      <c r="H377" s="3108">
        <v>1.0517000000000001</v>
      </c>
      <c r="I377" s="3108">
        <v>0.97989999999999999</v>
      </c>
      <c r="J377" s="3108">
        <v>0.97989999999999999</v>
      </c>
      <c r="K377" s="3108">
        <v>0.97989999999999999</v>
      </c>
      <c r="L377" s="3108">
        <v>0.97989999999999999</v>
      </c>
      <c r="M377" s="3109">
        <v>0.97989999999999999</v>
      </c>
    </row>
    <row r="378" spans="1:20">
      <c r="A378" s="3107">
        <v>1.7</v>
      </c>
      <c r="B378" s="3108">
        <v>1.0771999999999999</v>
      </c>
      <c r="C378" s="3108">
        <v>1.0771999999999999</v>
      </c>
      <c r="D378" s="3108">
        <v>1.0376000000000001</v>
      </c>
      <c r="E378" s="3108">
        <v>1.0376000000000001</v>
      </c>
      <c r="F378" s="3108">
        <v>1.0376000000000001</v>
      </c>
      <c r="G378" s="3108">
        <v>1.0376000000000001</v>
      </c>
      <c r="H378" s="3108">
        <v>1.0376000000000001</v>
      </c>
      <c r="I378" s="3108">
        <v>0.96089999999999998</v>
      </c>
      <c r="J378" s="3108">
        <v>0.96089999999999998</v>
      </c>
      <c r="K378" s="3108">
        <v>0.96089999999999998</v>
      </c>
      <c r="L378" s="3108">
        <v>0.96089999999999998</v>
      </c>
      <c r="M378" s="3109">
        <v>0.96089999999999998</v>
      </c>
    </row>
    <row r="379" spans="1:20">
      <c r="A379" s="3107">
        <v>1.8</v>
      </c>
      <c r="B379" s="3108">
        <v>1.0652999999999999</v>
      </c>
      <c r="C379" s="3108">
        <v>1.0652999999999999</v>
      </c>
      <c r="D379" s="3108">
        <v>1.0243</v>
      </c>
      <c r="E379" s="3108">
        <v>1.0243</v>
      </c>
      <c r="F379" s="3108">
        <v>1.0243</v>
      </c>
      <c r="G379" s="3108">
        <v>1.0243</v>
      </c>
      <c r="H379" s="3108">
        <v>1.0243</v>
      </c>
      <c r="I379" s="3108">
        <v>0.94299999999999995</v>
      </c>
      <c r="J379" s="3108">
        <v>0.94299999999999995</v>
      </c>
      <c r="K379" s="3108">
        <v>0.94299999999999995</v>
      </c>
      <c r="L379" s="3108">
        <v>0.94299999999999995</v>
      </c>
      <c r="M379" s="3109">
        <v>0.94299999999999995</v>
      </c>
    </row>
    <row r="380" spans="1:20">
      <c r="A380" s="3107">
        <v>1.9</v>
      </c>
      <c r="B380" s="3108">
        <v>1.054</v>
      </c>
      <c r="C380" s="3108">
        <v>1.054</v>
      </c>
      <c r="D380" s="3108">
        <v>1.0118</v>
      </c>
      <c r="E380" s="3108">
        <v>1.0118</v>
      </c>
      <c r="F380" s="3108">
        <v>1.0118</v>
      </c>
      <c r="G380" s="3108">
        <v>1.0118</v>
      </c>
      <c r="H380" s="3108">
        <v>1.0118</v>
      </c>
      <c r="I380" s="3108">
        <v>0.92620000000000002</v>
      </c>
      <c r="J380" s="3108">
        <v>0.92620000000000002</v>
      </c>
      <c r="K380" s="3108">
        <v>0.92620000000000002</v>
      </c>
      <c r="L380" s="3108">
        <v>0.92620000000000002</v>
      </c>
      <c r="M380" s="3109">
        <v>0.92620000000000002</v>
      </c>
    </row>
    <row r="381" spans="1:20">
      <c r="A381" s="3107">
        <v>2</v>
      </c>
      <c r="B381" s="3108">
        <v>1.0435000000000001</v>
      </c>
      <c r="C381" s="3108">
        <v>1.0435000000000001</v>
      </c>
      <c r="D381" s="3108">
        <v>1</v>
      </c>
      <c r="E381" s="3108">
        <v>1</v>
      </c>
      <c r="F381" s="3108">
        <v>1</v>
      </c>
      <c r="G381" s="3108">
        <v>1</v>
      </c>
      <c r="H381" s="3108">
        <v>1</v>
      </c>
      <c r="I381" s="3108">
        <v>0.9103</v>
      </c>
      <c r="J381" s="3108">
        <v>0.9103</v>
      </c>
      <c r="K381" s="3108">
        <v>0.9103</v>
      </c>
      <c r="L381" s="3108">
        <v>0.9103</v>
      </c>
      <c r="M381" s="3109">
        <v>0.9103</v>
      </c>
    </row>
    <row r="382" spans="1:20">
      <c r="A382" s="3110">
        <v>2.1</v>
      </c>
      <c r="B382" s="3108">
        <v>1.0336000000000001</v>
      </c>
      <c r="C382" s="3108">
        <v>1.0336000000000001</v>
      </c>
      <c r="D382" s="3108">
        <v>0.98899999999999999</v>
      </c>
      <c r="E382" s="3108">
        <v>0.98899999999999999</v>
      </c>
      <c r="F382" s="3108">
        <v>0.98899999999999999</v>
      </c>
      <c r="G382" s="3108">
        <v>0.98899999999999999</v>
      </c>
      <c r="H382" s="3108">
        <v>0.98899999999999999</v>
      </c>
      <c r="I382" s="3108">
        <v>0.89539999999999997</v>
      </c>
      <c r="J382" s="3108">
        <v>0.89539999999999997</v>
      </c>
      <c r="K382" s="3108">
        <v>0.89539999999999997</v>
      </c>
      <c r="L382" s="3108">
        <v>0.89539999999999997</v>
      </c>
      <c r="M382" s="3109">
        <v>0.89539999999999997</v>
      </c>
    </row>
    <row r="383" spans="1:20">
      <c r="A383" s="3110">
        <v>2.2000000000000002</v>
      </c>
      <c r="B383" s="3108">
        <v>1.0243</v>
      </c>
      <c r="C383" s="3108">
        <v>1.0243</v>
      </c>
      <c r="D383" s="3108">
        <v>0.97860000000000003</v>
      </c>
      <c r="E383" s="3108">
        <v>0.97860000000000003</v>
      </c>
      <c r="F383" s="3108">
        <v>0.97860000000000003</v>
      </c>
      <c r="G383" s="3108">
        <v>0.97860000000000003</v>
      </c>
      <c r="H383" s="3108">
        <v>0.97860000000000003</v>
      </c>
      <c r="I383" s="3108">
        <v>0.88139999999999996</v>
      </c>
      <c r="J383" s="3108">
        <v>0.88139999999999996</v>
      </c>
      <c r="K383" s="3108">
        <v>0.88139999999999996</v>
      </c>
      <c r="L383" s="3108">
        <v>0.88139999999999996</v>
      </c>
      <c r="M383" s="3109">
        <v>0.88139999999999996</v>
      </c>
    </row>
    <row r="384" spans="1:20">
      <c r="A384" s="3110">
        <v>2.2999999999999998</v>
      </c>
      <c r="B384" s="3108">
        <v>1.0157</v>
      </c>
      <c r="C384" s="3108">
        <v>1.0157</v>
      </c>
      <c r="D384" s="3108">
        <v>0.96889999999999998</v>
      </c>
      <c r="E384" s="3108">
        <v>0.96889999999999998</v>
      </c>
      <c r="F384" s="3108">
        <v>0.96889999999999998</v>
      </c>
      <c r="G384" s="3108">
        <v>0.96889999999999998</v>
      </c>
      <c r="H384" s="3108">
        <v>0.96889999999999998</v>
      </c>
      <c r="I384" s="3108">
        <v>0.86819999999999997</v>
      </c>
      <c r="J384" s="3108">
        <v>0.86819999999999997</v>
      </c>
      <c r="K384" s="3108">
        <v>0.86819999999999997</v>
      </c>
      <c r="L384" s="3108">
        <v>0.86819999999999997</v>
      </c>
      <c r="M384" s="3109">
        <v>0.86819999999999997</v>
      </c>
    </row>
    <row r="385" spans="1:13">
      <c r="A385" s="3110">
        <v>2.4</v>
      </c>
      <c r="B385" s="3108">
        <v>1.0076000000000001</v>
      </c>
      <c r="C385" s="3108">
        <v>1.0076000000000001</v>
      </c>
      <c r="D385" s="3108">
        <v>0.95979999999999999</v>
      </c>
      <c r="E385" s="3108">
        <v>0.95979999999999999</v>
      </c>
      <c r="F385" s="3108">
        <v>0.95979999999999999</v>
      </c>
      <c r="G385" s="3108">
        <v>0.95979999999999999</v>
      </c>
      <c r="H385" s="3108">
        <v>0.95979999999999999</v>
      </c>
      <c r="I385" s="3108">
        <v>0.85580000000000001</v>
      </c>
      <c r="J385" s="3108">
        <v>0.85580000000000001</v>
      </c>
      <c r="K385" s="3108">
        <v>0.85580000000000001</v>
      </c>
      <c r="L385" s="3108">
        <v>0.85580000000000001</v>
      </c>
      <c r="M385" s="3109">
        <v>0.85580000000000001</v>
      </c>
    </row>
    <row r="386" spans="1:13">
      <c r="A386" s="3110">
        <v>2.5</v>
      </c>
      <c r="B386" s="3108">
        <v>1</v>
      </c>
      <c r="C386" s="3108">
        <v>1</v>
      </c>
      <c r="D386" s="3108">
        <v>0.95120000000000005</v>
      </c>
      <c r="E386" s="3108">
        <v>0.95120000000000005</v>
      </c>
      <c r="F386" s="3108">
        <v>0.95120000000000005</v>
      </c>
      <c r="G386" s="3108">
        <v>0.95120000000000005</v>
      </c>
      <c r="H386" s="3108">
        <v>0.95120000000000005</v>
      </c>
      <c r="I386" s="3108">
        <v>0.84419999999999995</v>
      </c>
      <c r="J386" s="3108">
        <v>0.84419999999999995</v>
      </c>
      <c r="K386" s="3108">
        <v>0.84419999999999995</v>
      </c>
      <c r="L386" s="3108">
        <v>0.84419999999999995</v>
      </c>
      <c r="M386" s="3109">
        <v>0.84419999999999995</v>
      </c>
    </row>
    <row r="387" spans="1:13">
      <c r="A387" s="3110">
        <v>2.6</v>
      </c>
      <c r="B387" s="3108">
        <v>0.9929</v>
      </c>
      <c r="C387" s="3108">
        <v>0.9929</v>
      </c>
      <c r="D387" s="3108">
        <v>0.94320000000000004</v>
      </c>
      <c r="E387" s="3108">
        <v>0.94320000000000004</v>
      </c>
      <c r="F387" s="3108">
        <v>0.94320000000000004</v>
      </c>
      <c r="G387" s="3108">
        <v>0.94320000000000004</v>
      </c>
      <c r="H387" s="3108">
        <v>0.94320000000000004</v>
      </c>
      <c r="I387" s="3108">
        <v>0.83330000000000004</v>
      </c>
      <c r="J387" s="3108">
        <v>0.83330000000000004</v>
      </c>
      <c r="K387" s="3108">
        <v>0.83330000000000004</v>
      </c>
      <c r="L387" s="3108">
        <v>0.83330000000000004</v>
      </c>
      <c r="M387" s="3109">
        <v>0.83330000000000004</v>
      </c>
    </row>
    <row r="388" spans="1:13">
      <c r="A388" s="3110">
        <v>2.7</v>
      </c>
      <c r="B388" s="3108">
        <v>0.98629999999999995</v>
      </c>
      <c r="C388" s="3108">
        <v>0.98629999999999995</v>
      </c>
      <c r="D388" s="3108">
        <v>0.93569999999999998</v>
      </c>
      <c r="E388" s="3108">
        <v>0.93569999999999998</v>
      </c>
      <c r="F388" s="3108">
        <v>0.93569999999999998</v>
      </c>
      <c r="G388" s="3108">
        <v>0.93569999999999998</v>
      </c>
      <c r="H388" s="3108">
        <v>0.93569999999999998</v>
      </c>
      <c r="I388" s="3108">
        <v>0.82320000000000004</v>
      </c>
      <c r="J388" s="3108">
        <v>0.82320000000000004</v>
      </c>
      <c r="K388" s="3108">
        <v>0.82320000000000004</v>
      </c>
      <c r="L388" s="3108">
        <v>0.82320000000000004</v>
      </c>
      <c r="M388" s="3109">
        <v>0.82320000000000004</v>
      </c>
    </row>
    <row r="389" spans="1:13">
      <c r="A389" s="3110">
        <v>2.8</v>
      </c>
      <c r="B389" s="3108">
        <v>0.98009999999999997</v>
      </c>
      <c r="C389" s="3108">
        <v>0.98009999999999997</v>
      </c>
      <c r="D389" s="3108">
        <v>0.92879999999999996</v>
      </c>
      <c r="E389" s="3108">
        <v>0.92879999999999996</v>
      </c>
      <c r="F389" s="3108">
        <v>0.92879999999999996</v>
      </c>
      <c r="G389" s="3108">
        <v>0.92879999999999996</v>
      </c>
      <c r="H389" s="3108">
        <v>0.92879999999999996</v>
      </c>
      <c r="I389" s="3108">
        <v>0.81359999999999999</v>
      </c>
      <c r="J389" s="3108">
        <v>0.81359999999999999</v>
      </c>
      <c r="K389" s="3108">
        <v>0.81359999999999999</v>
      </c>
      <c r="L389" s="3108">
        <v>0.81359999999999999</v>
      </c>
      <c r="M389" s="3109">
        <v>0.81359999999999999</v>
      </c>
    </row>
    <row r="390" spans="1:13">
      <c r="A390" s="3110">
        <v>2.9</v>
      </c>
      <c r="B390" s="3108">
        <v>0.97430000000000005</v>
      </c>
      <c r="C390" s="3108">
        <v>0.97430000000000005</v>
      </c>
      <c r="D390" s="3108">
        <v>0.92220000000000002</v>
      </c>
      <c r="E390" s="3108">
        <v>0.92220000000000002</v>
      </c>
      <c r="F390" s="3108">
        <v>0.92220000000000002</v>
      </c>
      <c r="G390" s="3108">
        <v>0.92220000000000002</v>
      </c>
      <c r="H390" s="3108">
        <v>0.92220000000000002</v>
      </c>
      <c r="I390" s="3108">
        <v>0.80459999999999998</v>
      </c>
      <c r="J390" s="3108">
        <v>0.80459999999999998</v>
      </c>
      <c r="K390" s="3108">
        <v>0.80459999999999998</v>
      </c>
      <c r="L390" s="3108">
        <v>0.80459999999999998</v>
      </c>
      <c r="M390" s="3109">
        <v>0.80459999999999998</v>
      </c>
    </row>
    <row r="391" spans="1:13">
      <c r="A391" s="3110">
        <v>3</v>
      </c>
      <c r="B391" s="3108">
        <v>0.96889999999999998</v>
      </c>
      <c r="C391" s="3108">
        <v>0.96889999999999998</v>
      </c>
      <c r="D391" s="3108">
        <v>0.91610000000000003</v>
      </c>
      <c r="E391" s="3108">
        <v>0.91610000000000003</v>
      </c>
      <c r="F391" s="3108">
        <v>0.91610000000000003</v>
      </c>
      <c r="G391" s="3108">
        <v>0.91610000000000003</v>
      </c>
      <c r="H391" s="3108">
        <v>0.91610000000000003</v>
      </c>
      <c r="I391" s="3108">
        <v>0.79620000000000002</v>
      </c>
      <c r="J391" s="3108">
        <v>0.79620000000000002</v>
      </c>
      <c r="K391" s="3108">
        <v>0.79620000000000002</v>
      </c>
      <c r="L391" s="3108">
        <v>0.79620000000000002</v>
      </c>
      <c r="M391" s="3109">
        <v>0.79620000000000002</v>
      </c>
    </row>
    <row r="392" spans="1:13">
      <c r="A392" s="3110">
        <v>3.1</v>
      </c>
      <c r="B392" s="3108">
        <v>0.96389999999999998</v>
      </c>
      <c r="C392" s="3108">
        <v>0.96389999999999998</v>
      </c>
      <c r="D392" s="3108">
        <v>0.91039999999999999</v>
      </c>
      <c r="E392" s="3108">
        <v>0.91039999999999999</v>
      </c>
      <c r="F392" s="3108">
        <v>0.91039999999999999</v>
      </c>
      <c r="G392" s="3108">
        <v>0.91039999999999999</v>
      </c>
      <c r="H392" s="3108">
        <v>0.91039999999999999</v>
      </c>
      <c r="I392" s="3108">
        <v>0.7883</v>
      </c>
      <c r="J392" s="3108">
        <v>0.7883</v>
      </c>
      <c r="K392" s="3108">
        <v>0.7883</v>
      </c>
      <c r="L392" s="3108">
        <v>0.7883</v>
      </c>
      <c r="M392" s="3109">
        <v>0.7883</v>
      </c>
    </row>
    <row r="393" spans="1:13">
      <c r="A393" s="3110">
        <v>3.2</v>
      </c>
      <c r="B393" s="3108">
        <v>0.95930000000000004</v>
      </c>
      <c r="C393" s="3108">
        <v>0.95930000000000004</v>
      </c>
      <c r="D393" s="3108">
        <v>0.9052</v>
      </c>
      <c r="E393" s="3108">
        <v>0.9052</v>
      </c>
      <c r="F393" s="3108">
        <v>0.9052</v>
      </c>
      <c r="G393" s="3108">
        <v>0.9052</v>
      </c>
      <c r="H393" s="3108">
        <v>0.9052</v>
      </c>
      <c r="I393" s="3108">
        <v>0.78090000000000004</v>
      </c>
      <c r="J393" s="3108">
        <v>0.78090000000000004</v>
      </c>
      <c r="K393" s="3108">
        <v>0.78090000000000004</v>
      </c>
      <c r="L393" s="3108">
        <v>0.78090000000000004</v>
      </c>
      <c r="M393" s="3109">
        <v>0.78090000000000004</v>
      </c>
    </row>
    <row r="394" spans="1:13">
      <c r="A394" s="3110">
        <v>3.3</v>
      </c>
      <c r="B394" s="3108">
        <v>0.95489999999999997</v>
      </c>
      <c r="C394" s="3108">
        <v>0.95489999999999997</v>
      </c>
      <c r="D394" s="3108">
        <v>0.9002</v>
      </c>
      <c r="E394" s="3108">
        <v>0.9002</v>
      </c>
      <c r="F394" s="3108">
        <v>0.9002</v>
      </c>
      <c r="G394" s="3108">
        <v>0.9002</v>
      </c>
      <c r="H394" s="3108">
        <v>0.9002</v>
      </c>
      <c r="I394" s="3108">
        <v>0.77410000000000001</v>
      </c>
      <c r="J394" s="3108">
        <v>0.77410000000000001</v>
      </c>
      <c r="K394" s="3108">
        <v>0.77410000000000001</v>
      </c>
      <c r="L394" s="3108">
        <v>0.77410000000000001</v>
      </c>
      <c r="M394" s="3109">
        <v>0.77410000000000001</v>
      </c>
    </row>
    <row r="395" spans="1:13">
      <c r="A395" s="3110">
        <v>3.4</v>
      </c>
      <c r="B395" s="3108">
        <v>0.95089999999999997</v>
      </c>
      <c r="C395" s="3108">
        <v>0.95089999999999997</v>
      </c>
      <c r="D395" s="3108">
        <v>0.89559999999999995</v>
      </c>
      <c r="E395" s="3108">
        <v>0.89559999999999995</v>
      </c>
      <c r="F395" s="3108">
        <v>0.89559999999999995</v>
      </c>
      <c r="G395" s="3108">
        <v>0.89559999999999995</v>
      </c>
      <c r="H395" s="3108">
        <v>0.89559999999999995</v>
      </c>
      <c r="I395" s="3108">
        <v>0.76759999999999995</v>
      </c>
      <c r="J395" s="3108">
        <v>0.76759999999999995</v>
      </c>
      <c r="K395" s="3108">
        <v>0.76759999999999995</v>
      </c>
      <c r="L395" s="3108">
        <v>0.76759999999999995</v>
      </c>
      <c r="M395" s="3109">
        <v>0.76759999999999995</v>
      </c>
    </row>
    <row r="396" spans="1:13">
      <c r="A396" s="3110">
        <v>3.5</v>
      </c>
      <c r="B396" s="3108">
        <v>0.94710000000000005</v>
      </c>
      <c r="C396" s="3108">
        <v>0.94710000000000005</v>
      </c>
      <c r="D396" s="3108">
        <v>0.89129999999999998</v>
      </c>
      <c r="E396" s="3108">
        <v>0.89129999999999998</v>
      </c>
      <c r="F396" s="3108">
        <v>0.89129999999999998</v>
      </c>
      <c r="G396" s="3108">
        <v>0.89129999999999998</v>
      </c>
      <c r="H396" s="3108">
        <v>0.89129999999999998</v>
      </c>
      <c r="I396" s="3108">
        <v>0.76160000000000005</v>
      </c>
      <c r="J396" s="3108">
        <v>0.76160000000000005</v>
      </c>
      <c r="K396" s="3108">
        <v>0.76160000000000005</v>
      </c>
      <c r="L396" s="3108">
        <v>0.76160000000000005</v>
      </c>
      <c r="M396" s="3109">
        <v>0.76160000000000005</v>
      </c>
    </row>
    <row r="397" spans="1:13">
      <c r="A397" s="3110">
        <v>3.6</v>
      </c>
      <c r="B397" s="3108">
        <v>0.94359999999999999</v>
      </c>
      <c r="C397" s="3108">
        <v>0.94359999999999999</v>
      </c>
      <c r="D397" s="3108">
        <v>0.88729999999999998</v>
      </c>
      <c r="E397" s="3108">
        <v>0.88729999999999998</v>
      </c>
      <c r="F397" s="3108">
        <v>0.88729999999999998</v>
      </c>
      <c r="G397" s="3108">
        <v>0.88729999999999998</v>
      </c>
      <c r="H397" s="3108">
        <v>0.88729999999999998</v>
      </c>
      <c r="I397" s="3108">
        <v>0.75590000000000002</v>
      </c>
      <c r="J397" s="3108">
        <v>0.75590000000000002</v>
      </c>
      <c r="K397" s="3108">
        <v>0.75590000000000002</v>
      </c>
      <c r="L397" s="3108">
        <v>0.75590000000000002</v>
      </c>
      <c r="M397" s="3109">
        <v>0.75590000000000002</v>
      </c>
    </row>
    <row r="398" spans="1:13">
      <c r="A398" s="3110">
        <v>3.7</v>
      </c>
      <c r="B398" s="3108">
        <v>0.94040000000000001</v>
      </c>
      <c r="C398" s="3108">
        <v>0.94040000000000001</v>
      </c>
      <c r="D398" s="3108">
        <v>0.88349999999999995</v>
      </c>
      <c r="E398" s="3108">
        <v>0.88349999999999995</v>
      </c>
      <c r="F398" s="3108">
        <v>0.88349999999999995</v>
      </c>
      <c r="G398" s="3108">
        <v>0.88349999999999995</v>
      </c>
      <c r="H398" s="3108">
        <v>0.88349999999999995</v>
      </c>
      <c r="I398" s="3108">
        <v>0.75070000000000003</v>
      </c>
      <c r="J398" s="3108">
        <v>0.75070000000000003</v>
      </c>
      <c r="K398" s="3108">
        <v>0.75070000000000003</v>
      </c>
      <c r="L398" s="3108">
        <v>0.75070000000000003</v>
      </c>
      <c r="M398" s="3109">
        <v>0.75070000000000003</v>
      </c>
    </row>
    <row r="399" spans="1:13">
      <c r="A399" s="3110">
        <v>3.8</v>
      </c>
      <c r="B399" s="3108">
        <v>0.93740000000000001</v>
      </c>
      <c r="C399" s="3108">
        <v>0.93740000000000001</v>
      </c>
      <c r="D399" s="3108">
        <v>0.88009999999999999</v>
      </c>
      <c r="E399" s="3108">
        <v>0.88009999999999999</v>
      </c>
      <c r="F399" s="3108">
        <v>0.88009999999999999</v>
      </c>
      <c r="G399" s="3108">
        <v>0.88009999999999999</v>
      </c>
      <c r="H399" s="3108">
        <v>0.88009999999999999</v>
      </c>
      <c r="I399" s="3108">
        <v>0.74570000000000003</v>
      </c>
      <c r="J399" s="3108">
        <v>0.74570000000000003</v>
      </c>
      <c r="K399" s="3108">
        <v>0.74570000000000003</v>
      </c>
      <c r="L399" s="3108">
        <v>0.74570000000000003</v>
      </c>
      <c r="M399" s="3109">
        <v>0.74570000000000003</v>
      </c>
    </row>
    <row r="400" spans="1:13">
      <c r="A400" s="3110">
        <v>3.9</v>
      </c>
      <c r="B400" s="3108">
        <v>0.93459999999999999</v>
      </c>
      <c r="C400" s="3108">
        <v>0.93459999999999999</v>
      </c>
      <c r="D400" s="3108">
        <v>0.87680000000000002</v>
      </c>
      <c r="E400" s="3108">
        <v>0.87680000000000002</v>
      </c>
      <c r="F400" s="3108">
        <v>0.87680000000000002</v>
      </c>
      <c r="G400" s="3108">
        <v>0.87680000000000002</v>
      </c>
      <c r="H400" s="3108">
        <v>0.87680000000000002</v>
      </c>
      <c r="I400" s="3108">
        <v>0.74109999999999998</v>
      </c>
      <c r="J400" s="3108">
        <v>0.74109999999999998</v>
      </c>
      <c r="K400" s="3108">
        <v>0.74109999999999998</v>
      </c>
      <c r="L400" s="3108">
        <v>0.74109999999999998</v>
      </c>
      <c r="M400" s="3109">
        <v>0.74109999999999998</v>
      </c>
    </row>
    <row r="401" spans="1:13">
      <c r="A401" s="3110">
        <v>4</v>
      </c>
      <c r="B401" s="3108">
        <v>0.93179999999999996</v>
      </c>
      <c r="C401" s="3108">
        <v>0.93179999999999996</v>
      </c>
      <c r="D401" s="3108">
        <v>0.87380000000000002</v>
      </c>
      <c r="E401" s="3108">
        <v>0.87380000000000002</v>
      </c>
      <c r="F401" s="3108">
        <v>0.87380000000000002</v>
      </c>
      <c r="G401" s="3108">
        <v>0.87380000000000002</v>
      </c>
      <c r="H401" s="3108">
        <v>0.87380000000000002</v>
      </c>
      <c r="I401" s="3108">
        <v>0.73680000000000001</v>
      </c>
      <c r="J401" s="3108">
        <v>0.73680000000000001</v>
      </c>
      <c r="K401" s="3108">
        <v>0.73680000000000001</v>
      </c>
      <c r="L401" s="3108">
        <v>0.73680000000000001</v>
      </c>
      <c r="M401" s="3109">
        <v>0.73680000000000001</v>
      </c>
    </row>
    <row r="402" spans="1:13">
      <c r="A402" s="3110">
        <v>4.0999999999999996</v>
      </c>
      <c r="B402" s="3108">
        <v>0.92920000000000003</v>
      </c>
      <c r="C402" s="3108">
        <v>0.92920000000000003</v>
      </c>
      <c r="D402" s="3108">
        <v>0.87090000000000001</v>
      </c>
      <c r="E402" s="3108">
        <v>0.87090000000000001</v>
      </c>
      <c r="F402" s="3108">
        <v>0.87090000000000001</v>
      </c>
      <c r="G402" s="3108">
        <v>0.87090000000000001</v>
      </c>
      <c r="H402" s="3108">
        <v>0.87090000000000001</v>
      </c>
      <c r="I402" s="3108">
        <v>0.73270000000000002</v>
      </c>
      <c r="J402" s="3108">
        <v>0.73270000000000002</v>
      </c>
      <c r="K402" s="3108">
        <v>0.73270000000000002</v>
      </c>
      <c r="L402" s="3108">
        <v>0.73270000000000002</v>
      </c>
      <c r="M402" s="3109">
        <v>0.73270000000000002</v>
      </c>
    </row>
    <row r="403" spans="1:13">
      <c r="A403" s="3110">
        <v>4.2</v>
      </c>
      <c r="B403" s="3108">
        <v>0.92659999999999998</v>
      </c>
      <c r="C403" s="3108">
        <v>0.92659999999999998</v>
      </c>
      <c r="D403" s="3108">
        <v>0.86819999999999997</v>
      </c>
      <c r="E403" s="3108">
        <v>0.86819999999999997</v>
      </c>
      <c r="F403" s="3108">
        <v>0.86819999999999997</v>
      </c>
      <c r="G403" s="3108">
        <v>0.86819999999999997</v>
      </c>
      <c r="H403" s="3108">
        <v>0.86819999999999997</v>
      </c>
      <c r="I403" s="3108">
        <v>0.7288</v>
      </c>
      <c r="J403" s="3108">
        <v>0.7288</v>
      </c>
      <c r="K403" s="3108">
        <v>0.7288</v>
      </c>
      <c r="L403" s="3108">
        <v>0.7288</v>
      </c>
      <c r="M403" s="3109">
        <v>0.7288</v>
      </c>
    </row>
    <row r="404" spans="1:13">
      <c r="A404" s="3110">
        <v>4.3</v>
      </c>
      <c r="B404" s="3108">
        <v>0.92410000000000003</v>
      </c>
      <c r="C404" s="3108">
        <v>0.92410000000000003</v>
      </c>
      <c r="D404" s="3108">
        <v>0.86550000000000005</v>
      </c>
      <c r="E404" s="3108">
        <v>0.86550000000000005</v>
      </c>
      <c r="F404" s="3108">
        <v>0.86550000000000005</v>
      </c>
      <c r="G404" s="3108">
        <v>0.86550000000000005</v>
      </c>
      <c r="H404" s="3108">
        <v>0.86550000000000005</v>
      </c>
      <c r="I404" s="3108">
        <v>0.72509999999999997</v>
      </c>
      <c r="J404" s="3108">
        <v>0.72509999999999997</v>
      </c>
      <c r="K404" s="3108">
        <v>0.72509999999999997</v>
      </c>
      <c r="L404" s="3108">
        <v>0.72509999999999997</v>
      </c>
      <c r="M404" s="3109">
        <v>0.72509999999999997</v>
      </c>
    </row>
    <row r="405" spans="1:13">
      <c r="A405" s="3110">
        <v>4.4000000000000004</v>
      </c>
      <c r="B405" s="3108">
        <v>0.92179999999999995</v>
      </c>
      <c r="C405" s="3108">
        <v>0.92179999999999995</v>
      </c>
      <c r="D405" s="3108">
        <v>0.8629</v>
      </c>
      <c r="E405" s="3108">
        <v>0.8629</v>
      </c>
      <c r="F405" s="3108">
        <v>0.8629</v>
      </c>
      <c r="G405" s="3108">
        <v>0.8629</v>
      </c>
      <c r="H405" s="3108">
        <v>0.8629</v>
      </c>
      <c r="I405" s="3108">
        <v>0.72150000000000003</v>
      </c>
      <c r="J405" s="3108">
        <v>0.72150000000000003</v>
      </c>
      <c r="K405" s="3108">
        <v>0.72150000000000003</v>
      </c>
      <c r="L405" s="3108">
        <v>0.72150000000000003</v>
      </c>
      <c r="M405" s="3109">
        <v>0.72150000000000003</v>
      </c>
    </row>
    <row r="406" spans="1:13">
      <c r="A406" s="3110">
        <v>4.5</v>
      </c>
      <c r="B406" s="3108">
        <v>0.91949999999999998</v>
      </c>
      <c r="C406" s="3108">
        <v>0.91949999999999998</v>
      </c>
      <c r="D406" s="3108">
        <v>0.86050000000000004</v>
      </c>
      <c r="E406" s="3108">
        <v>0.86050000000000004</v>
      </c>
      <c r="F406" s="3108">
        <v>0.86050000000000004</v>
      </c>
      <c r="G406" s="3108">
        <v>0.86050000000000004</v>
      </c>
      <c r="H406" s="3108">
        <v>0.86050000000000004</v>
      </c>
      <c r="I406" s="3108">
        <v>0.71819999999999995</v>
      </c>
      <c r="J406" s="3108">
        <v>0.71819999999999995</v>
      </c>
      <c r="K406" s="3108">
        <v>0.71819999999999995</v>
      </c>
      <c r="L406" s="3108">
        <v>0.71819999999999995</v>
      </c>
      <c r="M406" s="3109">
        <v>0.71819999999999995</v>
      </c>
    </row>
    <row r="407" spans="1:13">
      <c r="A407" s="3110">
        <v>4.5999999999999996</v>
      </c>
      <c r="B407" s="3108">
        <v>0.9173</v>
      </c>
      <c r="C407" s="3108">
        <v>0.9173</v>
      </c>
      <c r="D407" s="3108">
        <v>0.85809999999999997</v>
      </c>
      <c r="E407" s="3108">
        <v>0.85809999999999997</v>
      </c>
      <c r="F407" s="3108">
        <v>0.85809999999999997</v>
      </c>
      <c r="G407" s="3108">
        <v>0.85809999999999997</v>
      </c>
      <c r="H407" s="3108">
        <v>0.85809999999999997</v>
      </c>
      <c r="I407" s="3108">
        <v>0.71499999999999997</v>
      </c>
      <c r="J407" s="3108">
        <v>0.71499999999999997</v>
      </c>
      <c r="K407" s="3108">
        <v>0.71499999999999997</v>
      </c>
      <c r="L407" s="3108">
        <v>0.71499999999999997</v>
      </c>
      <c r="M407" s="3109">
        <v>0.71499999999999997</v>
      </c>
    </row>
    <row r="408" spans="1:13">
      <c r="A408" s="3110">
        <v>4.7</v>
      </c>
      <c r="B408" s="3108">
        <v>0.91520000000000001</v>
      </c>
      <c r="C408" s="3108">
        <v>0.91520000000000001</v>
      </c>
      <c r="D408" s="3108">
        <v>0.85570000000000002</v>
      </c>
      <c r="E408" s="3108">
        <v>0.85570000000000002</v>
      </c>
      <c r="F408" s="3108">
        <v>0.85570000000000002</v>
      </c>
      <c r="G408" s="3108">
        <v>0.85570000000000002</v>
      </c>
      <c r="H408" s="3108">
        <v>0.85570000000000002</v>
      </c>
      <c r="I408" s="3108">
        <v>0.71199999999999997</v>
      </c>
      <c r="J408" s="3108">
        <v>0.71199999999999997</v>
      </c>
      <c r="K408" s="3108">
        <v>0.71199999999999997</v>
      </c>
      <c r="L408" s="3108">
        <v>0.71199999999999997</v>
      </c>
      <c r="M408" s="3109">
        <v>0.71199999999999997</v>
      </c>
    </row>
    <row r="409" spans="1:13">
      <c r="A409" s="3110">
        <v>4.8</v>
      </c>
      <c r="B409" s="3108">
        <v>0.91310000000000002</v>
      </c>
      <c r="C409" s="3108">
        <v>0.91310000000000002</v>
      </c>
      <c r="D409" s="3108">
        <v>0.85340000000000005</v>
      </c>
      <c r="E409" s="3108">
        <v>0.85340000000000005</v>
      </c>
      <c r="F409" s="3108">
        <v>0.85340000000000005</v>
      </c>
      <c r="G409" s="3108">
        <v>0.85340000000000005</v>
      </c>
      <c r="H409" s="3108">
        <v>0.85340000000000005</v>
      </c>
      <c r="I409" s="3108">
        <v>0.70909999999999995</v>
      </c>
      <c r="J409" s="3108">
        <v>0.70909999999999995</v>
      </c>
      <c r="K409" s="3108">
        <v>0.70909999999999995</v>
      </c>
      <c r="L409" s="3108">
        <v>0.70909999999999995</v>
      </c>
      <c r="M409" s="3109">
        <v>0.70909999999999995</v>
      </c>
    </row>
    <row r="410" spans="1:13">
      <c r="A410" s="3110">
        <v>4.9000000000000004</v>
      </c>
      <c r="B410" s="3108">
        <v>0.91120000000000001</v>
      </c>
      <c r="C410" s="3108">
        <v>0.91120000000000001</v>
      </c>
      <c r="D410" s="3108">
        <v>0.85109999999999997</v>
      </c>
      <c r="E410" s="3108">
        <v>0.85109999999999997</v>
      </c>
      <c r="F410" s="3108">
        <v>0.85109999999999997</v>
      </c>
      <c r="G410" s="3108">
        <v>0.85109999999999997</v>
      </c>
      <c r="H410" s="3108">
        <v>0.85109999999999997</v>
      </c>
      <c r="I410" s="3108">
        <v>0.70620000000000005</v>
      </c>
      <c r="J410" s="3108">
        <v>0.70620000000000005</v>
      </c>
      <c r="K410" s="3108">
        <v>0.70620000000000005</v>
      </c>
      <c r="L410" s="3108">
        <v>0.70620000000000005</v>
      </c>
      <c r="M410" s="3109">
        <v>0.70620000000000005</v>
      </c>
    </row>
    <row r="411" spans="1:13">
      <c r="A411" s="3110">
        <v>5</v>
      </c>
      <c r="B411" s="3108">
        <v>0.90920000000000001</v>
      </c>
      <c r="C411" s="3108">
        <v>0.90920000000000001</v>
      </c>
      <c r="D411" s="3108">
        <v>0.84889999999999999</v>
      </c>
      <c r="E411" s="3108">
        <v>0.84889999999999999</v>
      </c>
      <c r="F411" s="3108">
        <v>0.84889999999999999</v>
      </c>
      <c r="G411" s="3108">
        <v>0.84889999999999999</v>
      </c>
      <c r="H411" s="3108">
        <v>0.84889999999999999</v>
      </c>
      <c r="I411" s="3108">
        <v>0.70350000000000001</v>
      </c>
      <c r="J411" s="3108">
        <v>0.70350000000000001</v>
      </c>
      <c r="K411" s="3108">
        <v>0.70350000000000001</v>
      </c>
      <c r="L411" s="3108">
        <v>0.70350000000000001</v>
      </c>
      <c r="M411" s="3109">
        <v>0.70350000000000001</v>
      </c>
    </row>
    <row r="412" spans="1:13">
      <c r="A412" s="3107">
        <v>5.0999999999999996</v>
      </c>
      <c r="B412" s="3108">
        <v>0.90720000000000001</v>
      </c>
      <c r="C412" s="3108">
        <v>0.90720000000000001</v>
      </c>
      <c r="D412" s="3108">
        <v>0.84670000000000001</v>
      </c>
      <c r="E412" s="3108">
        <v>0.84670000000000001</v>
      </c>
      <c r="F412" s="3108">
        <v>0.84670000000000001</v>
      </c>
      <c r="G412" s="3108">
        <v>0.84670000000000001</v>
      </c>
      <c r="H412" s="3108">
        <v>0.84670000000000001</v>
      </c>
      <c r="I412" s="3108">
        <v>0.70089999999999997</v>
      </c>
      <c r="J412" s="3108">
        <v>0.70089999999999997</v>
      </c>
      <c r="K412" s="3108">
        <v>0.70089999999999997</v>
      </c>
      <c r="L412" s="3108">
        <v>0.70089999999999997</v>
      </c>
      <c r="M412" s="3109">
        <v>0.70089999999999997</v>
      </c>
    </row>
    <row r="413" spans="1:13">
      <c r="A413" s="3107">
        <v>5.2</v>
      </c>
      <c r="B413" s="3108">
        <v>0.90529999999999999</v>
      </c>
      <c r="C413" s="3108">
        <v>0.90529999999999999</v>
      </c>
      <c r="D413" s="3108">
        <v>0.84450000000000003</v>
      </c>
      <c r="E413" s="3108">
        <v>0.84450000000000003</v>
      </c>
      <c r="F413" s="3108">
        <v>0.84450000000000003</v>
      </c>
      <c r="G413" s="3108">
        <v>0.84450000000000003</v>
      </c>
      <c r="H413" s="3108">
        <v>0.84450000000000003</v>
      </c>
      <c r="I413" s="3108">
        <v>0.69820000000000004</v>
      </c>
      <c r="J413" s="3108">
        <v>0.69820000000000004</v>
      </c>
      <c r="K413" s="3108">
        <v>0.69820000000000004</v>
      </c>
      <c r="L413" s="3108">
        <v>0.69820000000000004</v>
      </c>
      <c r="M413" s="3109">
        <v>0.69820000000000004</v>
      </c>
    </row>
    <row r="414" spans="1:13">
      <c r="A414" s="3107">
        <v>5.3</v>
      </c>
      <c r="B414" s="3108">
        <v>0.90339999999999998</v>
      </c>
      <c r="C414" s="3108">
        <v>0.90339999999999998</v>
      </c>
      <c r="D414" s="3108">
        <v>0.84230000000000005</v>
      </c>
      <c r="E414" s="3108">
        <v>0.84230000000000005</v>
      </c>
      <c r="F414" s="3108">
        <v>0.84230000000000005</v>
      </c>
      <c r="G414" s="3108">
        <v>0.84230000000000005</v>
      </c>
      <c r="H414" s="3108">
        <v>0.84230000000000005</v>
      </c>
      <c r="I414" s="3108">
        <v>0.69569999999999999</v>
      </c>
      <c r="J414" s="3108">
        <v>0.69569999999999999</v>
      </c>
      <c r="K414" s="3108">
        <v>0.69569999999999999</v>
      </c>
      <c r="L414" s="3108">
        <v>0.69569999999999999</v>
      </c>
      <c r="M414" s="3109">
        <v>0.69569999999999999</v>
      </c>
    </row>
    <row r="415" spans="1:13">
      <c r="A415" s="3107">
        <v>5.4</v>
      </c>
      <c r="B415" s="3108">
        <v>0.90149999999999997</v>
      </c>
      <c r="C415" s="3108">
        <v>0.90149999999999997</v>
      </c>
      <c r="D415" s="3108">
        <v>0.84019999999999995</v>
      </c>
      <c r="E415" s="3108">
        <v>0.84019999999999995</v>
      </c>
      <c r="F415" s="3108">
        <v>0.84019999999999995</v>
      </c>
      <c r="G415" s="3108">
        <v>0.84019999999999995</v>
      </c>
      <c r="H415" s="3108">
        <v>0.84019999999999995</v>
      </c>
      <c r="I415" s="3108">
        <v>0.69310000000000005</v>
      </c>
      <c r="J415" s="3108">
        <v>0.69310000000000005</v>
      </c>
      <c r="K415" s="3108">
        <v>0.69310000000000005</v>
      </c>
      <c r="L415" s="3108">
        <v>0.69310000000000005</v>
      </c>
      <c r="M415" s="3109">
        <v>0.69310000000000005</v>
      </c>
    </row>
    <row r="416" spans="1:13">
      <c r="A416" s="3107">
        <v>5.5</v>
      </c>
      <c r="B416" s="3108">
        <v>0.89959999999999996</v>
      </c>
      <c r="C416" s="3108">
        <v>0.89959999999999996</v>
      </c>
      <c r="D416" s="3108">
        <v>0.83809999999999996</v>
      </c>
      <c r="E416" s="3108">
        <v>0.83809999999999996</v>
      </c>
      <c r="F416" s="3108">
        <v>0.83809999999999996</v>
      </c>
      <c r="G416" s="3108">
        <v>0.83809999999999996</v>
      </c>
      <c r="H416" s="3108">
        <v>0.83809999999999996</v>
      </c>
      <c r="I416" s="3108">
        <v>0.69059999999999999</v>
      </c>
      <c r="J416" s="3108">
        <v>0.69059999999999999</v>
      </c>
      <c r="K416" s="3108">
        <v>0.69059999999999999</v>
      </c>
      <c r="L416" s="3108">
        <v>0.69059999999999999</v>
      </c>
      <c r="M416" s="3109">
        <v>0.69059999999999999</v>
      </c>
    </row>
    <row r="417" spans="1:13">
      <c r="A417" s="3107">
        <v>5.6</v>
      </c>
      <c r="B417" s="3108">
        <v>0.89780000000000004</v>
      </c>
      <c r="C417" s="3108">
        <v>0.89780000000000004</v>
      </c>
      <c r="D417" s="3108">
        <v>0.83599999999999997</v>
      </c>
      <c r="E417" s="3108">
        <v>0.83599999999999997</v>
      </c>
      <c r="F417" s="3108">
        <v>0.83599999999999997</v>
      </c>
      <c r="G417" s="3108">
        <v>0.83599999999999997</v>
      </c>
      <c r="H417" s="3108">
        <v>0.83599999999999997</v>
      </c>
      <c r="I417" s="3108">
        <v>0.68810000000000004</v>
      </c>
      <c r="J417" s="3108">
        <v>0.68810000000000004</v>
      </c>
      <c r="K417" s="3108">
        <v>0.68810000000000004</v>
      </c>
      <c r="L417" s="3108">
        <v>0.68810000000000004</v>
      </c>
      <c r="M417" s="3109">
        <v>0.68810000000000004</v>
      </c>
    </row>
    <row r="418" spans="1:13">
      <c r="A418" s="3110">
        <v>5.7</v>
      </c>
      <c r="B418" s="3108">
        <v>0.89600000000000002</v>
      </c>
      <c r="C418" s="3108">
        <v>0.89600000000000002</v>
      </c>
      <c r="D418" s="3108">
        <v>0.83389999999999997</v>
      </c>
      <c r="E418" s="3108">
        <v>0.83389999999999997</v>
      </c>
      <c r="F418" s="3108">
        <v>0.83389999999999997</v>
      </c>
      <c r="G418" s="3108">
        <v>0.83389999999999997</v>
      </c>
      <c r="H418" s="3108">
        <v>0.83389999999999997</v>
      </c>
      <c r="I418" s="3108">
        <v>0.68569999999999998</v>
      </c>
      <c r="J418" s="3108">
        <v>0.68569999999999998</v>
      </c>
      <c r="K418" s="3108">
        <v>0.68569999999999998</v>
      </c>
      <c r="L418" s="3108">
        <v>0.68569999999999998</v>
      </c>
      <c r="M418" s="3109">
        <v>0.68569999999999998</v>
      </c>
    </row>
    <row r="419" spans="1:13">
      <c r="A419" s="3107">
        <v>5.8</v>
      </c>
      <c r="B419" s="3108">
        <v>0.89419999999999999</v>
      </c>
      <c r="C419" s="3108">
        <v>0.89419999999999999</v>
      </c>
      <c r="D419" s="3108">
        <v>0.83189999999999997</v>
      </c>
      <c r="E419" s="3108">
        <v>0.83189999999999997</v>
      </c>
      <c r="F419" s="3108">
        <v>0.83189999999999997</v>
      </c>
      <c r="G419" s="3108">
        <v>0.83189999999999997</v>
      </c>
      <c r="H419" s="3108">
        <v>0.83189999999999997</v>
      </c>
      <c r="I419" s="3108">
        <v>0.68320000000000003</v>
      </c>
      <c r="J419" s="3108">
        <v>0.68320000000000003</v>
      </c>
      <c r="K419" s="3108">
        <v>0.68320000000000003</v>
      </c>
      <c r="L419" s="3108">
        <v>0.68320000000000003</v>
      </c>
      <c r="M419" s="3109">
        <v>0.68320000000000003</v>
      </c>
    </row>
    <row r="420" spans="1:13">
      <c r="A420" s="3107">
        <v>5.9</v>
      </c>
      <c r="B420" s="3108">
        <v>0.89239999999999997</v>
      </c>
      <c r="C420" s="3108">
        <v>0.89239999999999997</v>
      </c>
      <c r="D420" s="3108">
        <v>0.82989999999999997</v>
      </c>
      <c r="E420" s="3108">
        <v>0.82989999999999997</v>
      </c>
      <c r="F420" s="3108">
        <v>0.82989999999999997</v>
      </c>
      <c r="G420" s="3108">
        <v>0.82989999999999997</v>
      </c>
      <c r="H420" s="3108">
        <v>0.82989999999999997</v>
      </c>
      <c r="I420" s="3108">
        <v>0.68069999999999997</v>
      </c>
      <c r="J420" s="3108">
        <v>0.68069999999999997</v>
      </c>
      <c r="K420" s="3108">
        <v>0.68069999999999997</v>
      </c>
      <c r="L420" s="3108">
        <v>0.68069999999999997</v>
      </c>
      <c r="M420" s="3109">
        <v>0.68069999999999997</v>
      </c>
    </row>
    <row r="421" spans="1:13">
      <c r="A421" s="3107">
        <v>6</v>
      </c>
      <c r="B421" s="3108">
        <v>0.89070000000000005</v>
      </c>
      <c r="C421" s="3108">
        <v>0.89070000000000005</v>
      </c>
      <c r="D421" s="3108">
        <v>0.82789999999999997</v>
      </c>
      <c r="E421" s="3108">
        <v>0.82789999999999997</v>
      </c>
      <c r="F421" s="3108">
        <v>0.82789999999999997</v>
      </c>
      <c r="G421" s="3108">
        <v>0.82789999999999997</v>
      </c>
      <c r="H421" s="3108">
        <v>0.82789999999999997</v>
      </c>
      <c r="I421" s="3108">
        <v>0.6784</v>
      </c>
      <c r="J421" s="3108">
        <v>0.6784</v>
      </c>
      <c r="K421" s="3108">
        <v>0.6784</v>
      </c>
      <c r="L421" s="3108">
        <v>0.6784</v>
      </c>
      <c r="M421" s="3109">
        <v>0.6784</v>
      </c>
    </row>
    <row r="422" spans="1:13">
      <c r="A422" s="3107">
        <v>6.1</v>
      </c>
      <c r="B422" s="3108">
        <v>0.88900000000000001</v>
      </c>
      <c r="C422" s="3108">
        <v>0.88900000000000001</v>
      </c>
      <c r="D422" s="3108">
        <v>0.82589999999999997</v>
      </c>
      <c r="E422" s="3108">
        <v>0.82589999999999997</v>
      </c>
      <c r="F422" s="3108">
        <v>0.82589999999999997</v>
      </c>
      <c r="G422" s="3108">
        <v>0.82589999999999997</v>
      </c>
      <c r="H422" s="3108">
        <v>0.82589999999999997</v>
      </c>
      <c r="I422" s="3108">
        <v>0.67600000000000005</v>
      </c>
      <c r="J422" s="3108">
        <v>0.67600000000000005</v>
      </c>
      <c r="K422" s="3108">
        <v>0.67600000000000005</v>
      </c>
      <c r="L422" s="3108">
        <v>0.67600000000000005</v>
      </c>
      <c r="M422" s="3109">
        <v>0.67600000000000005</v>
      </c>
    </row>
    <row r="423" spans="1:13">
      <c r="A423" s="3107">
        <v>6.2</v>
      </c>
      <c r="B423" s="3108">
        <v>0.88729999999999998</v>
      </c>
      <c r="C423" s="3108">
        <v>0.88729999999999998</v>
      </c>
      <c r="D423" s="3108">
        <v>0.82389999999999997</v>
      </c>
      <c r="E423" s="3108">
        <v>0.82389999999999997</v>
      </c>
      <c r="F423" s="3108">
        <v>0.82389999999999997</v>
      </c>
      <c r="G423" s="3108">
        <v>0.82389999999999997</v>
      </c>
      <c r="H423" s="3108">
        <v>0.82389999999999997</v>
      </c>
      <c r="I423" s="3108">
        <v>0.67359999999999998</v>
      </c>
      <c r="J423" s="3108">
        <v>0.67359999999999998</v>
      </c>
      <c r="K423" s="3108">
        <v>0.67359999999999998</v>
      </c>
      <c r="L423" s="3108">
        <v>0.67359999999999998</v>
      </c>
      <c r="M423" s="3109">
        <v>0.67359999999999998</v>
      </c>
    </row>
    <row r="424" spans="1:13">
      <c r="A424" s="3107">
        <v>6.3</v>
      </c>
      <c r="B424" s="3108">
        <v>0.88560000000000005</v>
      </c>
      <c r="C424" s="3108">
        <v>0.88560000000000005</v>
      </c>
      <c r="D424" s="3108">
        <v>0.82189999999999996</v>
      </c>
      <c r="E424" s="3108">
        <v>0.82189999999999996</v>
      </c>
      <c r="F424" s="3108">
        <v>0.82189999999999996</v>
      </c>
      <c r="G424" s="3108">
        <v>0.82189999999999996</v>
      </c>
      <c r="H424" s="3108">
        <v>0.82189999999999996</v>
      </c>
      <c r="I424" s="3108">
        <v>0.67130000000000001</v>
      </c>
      <c r="J424" s="3108">
        <v>0.67130000000000001</v>
      </c>
      <c r="K424" s="3108">
        <v>0.67130000000000001</v>
      </c>
      <c r="L424" s="3108">
        <v>0.67130000000000001</v>
      </c>
      <c r="M424" s="3109">
        <v>0.67130000000000001</v>
      </c>
    </row>
    <row r="425" spans="1:13">
      <c r="A425" s="3107">
        <v>6.4</v>
      </c>
      <c r="B425" s="3108">
        <v>0.88390000000000002</v>
      </c>
      <c r="C425" s="3108">
        <v>0.88390000000000002</v>
      </c>
      <c r="D425" s="3108">
        <v>0.82</v>
      </c>
      <c r="E425" s="3108">
        <v>0.82</v>
      </c>
      <c r="F425" s="3108">
        <v>0.82</v>
      </c>
      <c r="G425" s="3108">
        <v>0.82</v>
      </c>
      <c r="H425" s="3108">
        <v>0.82</v>
      </c>
      <c r="I425" s="3108">
        <v>0.66890000000000005</v>
      </c>
      <c r="J425" s="3108">
        <v>0.66890000000000005</v>
      </c>
      <c r="K425" s="3108">
        <v>0.66890000000000005</v>
      </c>
      <c r="L425" s="3108">
        <v>0.66890000000000005</v>
      </c>
      <c r="M425" s="3109">
        <v>0.66890000000000005</v>
      </c>
    </row>
    <row r="426" spans="1:13">
      <c r="A426" s="3107">
        <v>6.5</v>
      </c>
      <c r="B426" s="3108">
        <v>0.88229999999999997</v>
      </c>
      <c r="C426" s="3108">
        <v>0.88229999999999997</v>
      </c>
      <c r="D426" s="3108">
        <v>0.81810000000000005</v>
      </c>
      <c r="E426" s="3108">
        <v>0.81810000000000005</v>
      </c>
      <c r="F426" s="3108">
        <v>0.81810000000000005</v>
      </c>
      <c r="G426" s="3108">
        <v>0.81810000000000005</v>
      </c>
      <c r="H426" s="3108">
        <v>0.81810000000000005</v>
      </c>
      <c r="I426" s="3108">
        <v>0.66659999999999997</v>
      </c>
      <c r="J426" s="3108">
        <v>0.66659999999999997</v>
      </c>
      <c r="K426" s="3108">
        <v>0.66659999999999997</v>
      </c>
      <c r="L426" s="3108">
        <v>0.66659999999999997</v>
      </c>
      <c r="M426" s="3109">
        <v>0.66659999999999997</v>
      </c>
    </row>
    <row r="427" spans="1:13">
      <c r="A427" s="3107">
        <v>6.6</v>
      </c>
      <c r="B427" s="3108">
        <v>0.88070000000000004</v>
      </c>
      <c r="C427" s="3108">
        <v>0.88070000000000004</v>
      </c>
      <c r="D427" s="3108">
        <v>0.81620000000000004</v>
      </c>
      <c r="E427" s="3108">
        <v>0.81620000000000004</v>
      </c>
      <c r="F427" s="3108">
        <v>0.81620000000000004</v>
      </c>
      <c r="G427" s="3108">
        <v>0.81620000000000004</v>
      </c>
      <c r="H427" s="3108">
        <v>0.81620000000000004</v>
      </c>
      <c r="I427" s="3108">
        <v>0.66439999999999999</v>
      </c>
      <c r="J427" s="3108">
        <v>0.66439999999999999</v>
      </c>
      <c r="K427" s="3108">
        <v>0.66439999999999999</v>
      </c>
      <c r="L427" s="3108">
        <v>0.66439999999999999</v>
      </c>
      <c r="M427" s="3109">
        <v>0.66439999999999999</v>
      </c>
    </row>
    <row r="428" spans="1:13">
      <c r="A428" s="3107">
        <v>6.7</v>
      </c>
      <c r="B428" s="3108">
        <v>0.879</v>
      </c>
      <c r="C428" s="3108">
        <v>0.879</v>
      </c>
      <c r="D428" s="3108">
        <v>0.81430000000000002</v>
      </c>
      <c r="E428" s="3108">
        <v>0.81430000000000002</v>
      </c>
      <c r="F428" s="3108">
        <v>0.81430000000000002</v>
      </c>
      <c r="G428" s="3108">
        <v>0.81430000000000002</v>
      </c>
      <c r="H428" s="3108">
        <v>0.81430000000000002</v>
      </c>
      <c r="I428" s="3108">
        <v>0.66210000000000002</v>
      </c>
      <c r="J428" s="3108">
        <v>0.66210000000000002</v>
      </c>
      <c r="K428" s="3108">
        <v>0.66210000000000002</v>
      </c>
      <c r="L428" s="3108">
        <v>0.66210000000000002</v>
      </c>
      <c r="M428" s="3109">
        <v>0.66210000000000002</v>
      </c>
    </row>
    <row r="429" spans="1:13">
      <c r="A429" s="3107">
        <v>6.8</v>
      </c>
      <c r="B429" s="3108">
        <v>0.87739999999999996</v>
      </c>
      <c r="C429" s="3108">
        <v>0.87739999999999996</v>
      </c>
      <c r="D429" s="3108">
        <v>0.81240000000000001</v>
      </c>
      <c r="E429" s="3108">
        <v>0.81240000000000001</v>
      </c>
      <c r="F429" s="3108">
        <v>0.81240000000000001</v>
      </c>
      <c r="G429" s="3108">
        <v>0.81240000000000001</v>
      </c>
      <c r="H429" s="3108">
        <v>0.81240000000000001</v>
      </c>
      <c r="I429" s="3108">
        <v>0.65980000000000005</v>
      </c>
      <c r="J429" s="3108">
        <v>0.65980000000000005</v>
      </c>
      <c r="K429" s="3108">
        <v>0.65980000000000005</v>
      </c>
      <c r="L429" s="3108">
        <v>0.65980000000000005</v>
      </c>
      <c r="M429" s="3109">
        <v>0.65980000000000005</v>
      </c>
    </row>
    <row r="430" spans="1:13">
      <c r="A430" s="3107">
        <v>6.9</v>
      </c>
      <c r="B430" s="3108">
        <v>0.87580000000000002</v>
      </c>
      <c r="C430" s="3108">
        <v>0.87580000000000002</v>
      </c>
      <c r="D430" s="3108">
        <v>0.8105</v>
      </c>
      <c r="E430" s="3108">
        <v>0.8105</v>
      </c>
      <c r="F430" s="3108">
        <v>0.8105</v>
      </c>
      <c r="G430" s="3108">
        <v>0.8105</v>
      </c>
      <c r="H430" s="3108">
        <v>0.8105</v>
      </c>
      <c r="I430" s="3108">
        <v>0.65749999999999997</v>
      </c>
      <c r="J430" s="3108">
        <v>0.65749999999999997</v>
      </c>
      <c r="K430" s="3108">
        <v>0.65749999999999997</v>
      </c>
      <c r="L430" s="3108">
        <v>0.65749999999999997</v>
      </c>
      <c r="M430" s="3109">
        <v>0.65749999999999997</v>
      </c>
    </row>
    <row r="431" spans="1:13">
      <c r="A431" s="3107">
        <v>7</v>
      </c>
      <c r="B431" s="3108">
        <v>0.87419999999999998</v>
      </c>
      <c r="C431" s="3108">
        <v>0.87419999999999998</v>
      </c>
      <c r="D431" s="3108">
        <v>0.80869999999999997</v>
      </c>
      <c r="E431" s="3108">
        <v>0.80869999999999997</v>
      </c>
      <c r="F431" s="3108">
        <v>0.80869999999999997</v>
      </c>
      <c r="G431" s="3108">
        <v>0.80869999999999997</v>
      </c>
      <c r="H431" s="3108">
        <v>0.80869999999999997</v>
      </c>
      <c r="I431" s="3108">
        <v>0.65529999999999999</v>
      </c>
      <c r="J431" s="3108">
        <v>0.65529999999999999</v>
      </c>
      <c r="K431" s="3108">
        <v>0.65529999999999999</v>
      </c>
      <c r="L431" s="3108">
        <v>0.65529999999999999</v>
      </c>
      <c r="M431" s="3109">
        <v>0.65529999999999999</v>
      </c>
    </row>
    <row r="432" spans="1:13">
      <c r="A432" s="3107">
        <v>7.1</v>
      </c>
      <c r="B432" s="3108">
        <v>0.87270000000000003</v>
      </c>
      <c r="C432" s="3108">
        <v>0.87270000000000003</v>
      </c>
      <c r="D432" s="3108">
        <v>0.80689999999999995</v>
      </c>
      <c r="E432" s="3108">
        <v>0.80689999999999995</v>
      </c>
      <c r="F432" s="3108">
        <v>0.80689999999999995</v>
      </c>
      <c r="G432" s="3108">
        <v>0.80689999999999995</v>
      </c>
      <c r="H432" s="3108">
        <v>0.80689999999999995</v>
      </c>
      <c r="I432" s="3108">
        <v>0.6532</v>
      </c>
      <c r="J432" s="3108">
        <v>0.6532</v>
      </c>
      <c r="K432" s="3108">
        <v>0.6532</v>
      </c>
      <c r="L432" s="3108">
        <v>0.6532</v>
      </c>
      <c r="M432" s="3109">
        <v>0.6532</v>
      </c>
    </row>
    <row r="433" spans="1:13">
      <c r="A433" s="3107">
        <v>7.2</v>
      </c>
      <c r="B433" s="3108">
        <v>0.87119999999999997</v>
      </c>
      <c r="C433" s="3108">
        <v>0.87119999999999997</v>
      </c>
      <c r="D433" s="3108">
        <v>0.80510000000000004</v>
      </c>
      <c r="E433" s="3108">
        <v>0.80510000000000004</v>
      </c>
      <c r="F433" s="3108">
        <v>0.80510000000000004</v>
      </c>
      <c r="G433" s="3108">
        <v>0.80510000000000004</v>
      </c>
      <c r="H433" s="3108">
        <v>0.80510000000000004</v>
      </c>
      <c r="I433" s="3108">
        <v>0.65100000000000002</v>
      </c>
      <c r="J433" s="3108">
        <v>0.65100000000000002</v>
      </c>
      <c r="K433" s="3108">
        <v>0.65100000000000002</v>
      </c>
      <c r="L433" s="3108">
        <v>0.65100000000000002</v>
      </c>
      <c r="M433" s="3109">
        <v>0.65100000000000002</v>
      </c>
    </row>
    <row r="434" spans="1:13">
      <c r="A434" s="3107">
        <v>7.3</v>
      </c>
      <c r="B434" s="3108">
        <v>0.86970000000000003</v>
      </c>
      <c r="C434" s="3108">
        <v>0.86970000000000003</v>
      </c>
      <c r="D434" s="3108">
        <v>0.80330000000000001</v>
      </c>
      <c r="E434" s="3108">
        <v>0.80330000000000001</v>
      </c>
      <c r="F434" s="3108">
        <v>0.80330000000000001</v>
      </c>
      <c r="G434" s="3108">
        <v>0.80330000000000001</v>
      </c>
      <c r="H434" s="3108">
        <v>0.80330000000000001</v>
      </c>
      <c r="I434" s="3108">
        <v>0.64880000000000004</v>
      </c>
      <c r="J434" s="3108">
        <v>0.64880000000000004</v>
      </c>
      <c r="K434" s="3108">
        <v>0.64880000000000004</v>
      </c>
      <c r="L434" s="3108">
        <v>0.64880000000000004</v>
      </c>
      <c r="M434" s="3109">
        <v>0.64880000000000004</v>
      </c>
    </row>
    <row r="435" spans="1:13">
      <c r="A435" s="3107">
        <v>7.4</v>
      </c>
      <c r="B435" s="3108">
        <v>0.86819999999999997</v>
      </c>
      <c r="C435" s="3108">
        <v>0.86819999999999997</v>
      </c>
      <c r="D435" s="3108">
        <v>0.80149999999999999</v>
      </c>
      <c r="E435" s="3108">
        <v>0.80149999999999999</v>
      </c>
      <c r="F435" s="3108">
        <v>0.80149999999999999</v>
      </c>
      <c r="G435" s="3108">
        <v>0.80149999999999999</v>
      </c>
      <c r="H435" s="3108">
        <v>0.80149999999999999</v>
      </c>
      <c r="I435" s="3108">
        <v>0.64659999999999995</v>
      </c>
      <c r="J435" s="3108">
        <v>0.64659999999999995</v>
      </c>
      <c r="K435" s="3108">
        <v>0.64659999999999995</v>
      </c>
      <c r="L435" s="3108">
        <v>0.64659999999999995</v>
      </c>
      <c r="M435" s="3109">
        <v>0.64659999999999995</v>
      </c>
    </row>
    <row r="436" spans="1:13">
      <c r="A436" s="3107">
        <v>7.5</v>
      </c>
      <c r="B436" s="3108">
        <v>0.86660000000000004</v>
      </c>
      <c r="C436" s="3108">
        <v>0.86660000000000004</v>
      </c>
      <c r="D436" s="3108">
        <v>0.79969999999999997</v>
      </c>
      <c r="E436" s="3108">
        <v>0.79969999999999997</v>
      </c>
      <c r="F436" s="3108">
        <v>0.79969999999999997</v>
      </c>
      <c r="G436" s="3108">
        <v>0.79969999999999997</v>
      </c>
      <c r="H436" s="3108">
        <v>0.79969999999999997</v>
      </c>
      <c r="I436" s="3108">
        <v>0.64449999999999996</v>
      </c>
      <c r="J436" s="3108">
        <v>0.64449999999999996</v>
      </c>
      <c r="K436" s="3108">
        <v>0.64449999999999996</v>
      </c>
      <c r="L436" s="3108">
        <v>0.64449999999999996</v>
      </c>
      <c r="M436" s="3109">
        <v>0.64449999999999996</v>
      </c>
    </row>
    <row r="437" spans="1:13">
      <c r="A437" s="3107">
        <v>7.6</v>
      </c>
      <c r="B437" s="3108">
        <v>0.86509999999999998</v>
      </c>
      <c r="C437" s="3108">
        <v>0.86509999999999998</v>
      </c>
      <c r="D437" s="3108">
        <v>0.79800000000000004</v>
      </c>
      <c r="E437" s="3108">
        <v>0.79800000000000004</v>
      </c>
      <c r="F437" s="3108">
        <v>0.79800000000000004</v>
      </c>
      <c r="G437" s="3108">
        <v>0.79800000000000004</v>
      </c>
      <c r="H437" s="3108">
        <v>0.79800000000000004</v>
      </c>
      <c r="I437" s="3108">
        <v>0.64239999999999997</v>
      </c>
      <c r="J437" s="3108">
        <v>0.64239999999999997</v>
      </c>
      <c r="K437" s="3108">
        <v>0.64239999999999997</v>
      </c>
      <c r="L437" s="3108">
        <v>0.64239999999999997</v>
      </c>
      <c r="M437" s="3109">
        <v>0.64239999999999997</v>
      </c>
    </row>
    <row r="438" spans="1:13">
      <c r="A438" s="3107">
        <v>7.7</v>
      </c>
      <c r="B438" s="3108">
        <v>0.86370000000000002</v>
      </c>
      <c r="C438" s="3108">
        <v>0.86370000000000002</v>
      </c>
      <c r="D438" s="3108">
        <v>0.79630000000000001</v>
      </c>
      <c r="E438" s="3108">
        <v>0.79630000000000001</v>
      </c>
      <c r="F438" s="3108">
        <v>0.79630000000000001</v>
      </c>
      <c r="G438" s="3108">
        <v>0.79630000000000001</v>
      </c>
      <c r="H438" s="3108">
        <v>0.79630000000000001</v>
      </c>
      <c r="I438" s="3108">
        <v>0.64029999999999998</v>
      </c>
      <c r="J438" s="3108">
        <v>0.64029999999999998</v>
      </c>
      <c r="K438" s="3108">
        <v>0.64029999999999998</v>
      </c>
      <c r="L438" s="3108">
        <v>0.64029999999999998</v>
      </c>
      <c r="M438" s="3109">
        <v>0.64029999999999998</v>
      </c>
    </row>
    <row r="439" spans="1:13">
      <c r="A439" s="3107">
        <v>7.8</v>
      </c>
      <c r="B439" s="3108">
        <v>0.86229999999999996</v>
      </c>
      <c r="C439" s="3108">
        <v>0.86229999999999996</v>
      </c>
      <c r="D439" s="3108">
        <v>0.79449999999999998</v>
      </c>
      <c r="E439" s="3108">
        <v>0.79449999999999998</v>
      </c>
      <c r="F439" s="3108">
        <v>0.79449999999999998</v>
      </c>
      <c r="G439" s="3108">
        <v>0.79449999999999998</v>
      </c>
      <c r="H439" s="3108">
        <v>0.79449999999999998</v>
      </c>
      <c r="I439" s="3108">
        <v>0.63819999999999999</v>
      </c>
      <c r="J439" s="3108">
        <v>0.63819999999999999</v>
      </c>
      <c r="K439" s="3108">
        <v>0.63819999999999999</v>
      </c>
      <c r="L439" s="3108">
        <v>0.63819999999999999</v>
      </c>
      <c r="M439" s="3109">
        <v>0.63819999999999999</v>
      </c>
    </row>
    <row r="440" spans="1:13">
      <c r="A440" s="3107">
        <v>7.9</v>
      </c>
      <c r="B440" s="3108">
        <v>0.8609</v>
      </c>
      <c r="C440" s="3108">
        <v>0.8609</v>
      </c>
      <c r="D440" s="3108">
        <v>0.79279999999999995</v>
      </c>
      <c r="E440" s="3108">
        <v>0.79279999999999995</v>
      </c>
      <c r="F440" s="3108">
        <v>0.79279999999999995</v>
      </c>
      <c r="G440" s="3108">
        <v>0.79279999999999995</v>
      </c>
      <c r="H440" s="3108">
        <v>0.79279999999999995</v>
      </c>
      <c r="I440" s="3108">
        <v>0.6361</v>
      </c>
      <c r="J440" s="3108">
        <v>0.6361</v>
      </c>
      <c r="K440" s="3108">
        <v>0.6361</v>
      </c>
      <c r="L440" s="3108">
        <v>0.6361</v>
      </c>
      <c r="M440" s="3109">
        <v>0.6361</v>
      </c>
    </row>
    <row r="441" spans="1:13">
      <c r="A441" s="3107">
        <v>8</v>
      </c>
      <c r="B441" s="3108">
        <v>0.85940000000000005</v>
      </c>
      <c r="C441" s="3108">
        <v>0.85940000000000005</v>
      </c>
      <c r="D441" s="3108">
        <v>0.79110000000000003</v>
      </c>
      <c r="E441" s="3108">
        <v>0.79110000000000003</v>
      </c>
      <c r="F441" s="3108">
        <v>0.79110000000000003</v>
      </c>
      <c r="G441" s="3108">
        <v>0.79110000000000003</v>
      </c>
      <c r="H441" s="3108">
        <v>0.79110000000000003</v>
      </c>
      <c r="I441" s="3108">
        <v>0.6341</v>
      </c>
      <c r="J441" s="3108">
        <v>0.6341</v>
      </c>
      <c r="K441" s="3108">
        <v>0.6341</v>
      </c>
      <c r="L441" s="3108">
        <v>0.6341</v>
      </c>
      <c r="M441" s="3109">
        <v>0.6341</v>
      </c>
    </row>
    <row r="442" spans="1:13">
      <c r="A442" s="3107">
        <v>8.1</v>
      </c>
      <c r="B442" s="3108">
        <v>0.85799999999999998</v>
      </c>
      <c r="C442" s="3108">
        <v>0.85799999999999998</v>
      </c>
      <c r="D442" s="3108">
        <v>0.78939999999999999</v>
      </c>
      <c r="E442" s="3108">
        <v>0.78939999999999999</v>
      </c>
      <c r="F442" s="3108">
        <v>0.78939999999999999</v>
      </c>
      <c r="G442" s="3108">
        <v>0.78939999999999999</v>
      </c>
      <c r="H442" s="3108">
        <v>0.78939999999999999</v>
      </c>
      <c r="I442" s="3108">
        <v>0.6321</v>
      </c>
      <c r="J442" s="3108">
        <v>0.6321</v>
      </c>
      <c r="K442" s="3108">
        <v>0.6321</v>
      </c>
      <c r="L442" s="3108">
        <v>0.6321</v>
      </c>
      <c r="M442" s="3109">
        <v>0.6321</v>
      </c>
    </row>
    <row r="443" spans="1:13">
      <c r="A443" s="3107">
        <v>8.1999999999999993</v>
      </c>
      <c r="B443" s="3108">
        <v>0.85660000000000003</v>
      </c>
      <c r="C443" s="3108">
        <v>0.85660000000000003</v>
      </c>
      <c r="D443" s="3108">
        <v>0.78779999999999994</v>
      </c>
      <c r="E443" s="3108">
        <v>0.78779999999999994</v>
      </c>
      <c r="F443" s="3108">
        <v>0.78779999999999994</v>
      </c>
      <c r="G443" s="3108">
        <v>0.78779999999999994</v>
      </c>
      <c r="H443" s="3108">
        <v>0.78779999999999994</v>
      </c>
      <c r="I443" s="3108">
        <v>0.63009999999999999</v>
      </c>
      <c r="J443" s="3108">
        <v>0.63009999999999999</v>
      </c>
      <c r="K443" s="3108">
        <v>0.63009999999999999</v>
      </c>
      <c r="L443" s="3108">
        <v>0.63009999999999999</v>
      </c>
      <c r="M443" s="3109">
        <v>0.63009999999999999</v>
      </c>
    </row>
    <row r="444" spans="1:13">
      <c r="A444" s="3107">
        <v>8.3000000000000007</v>
      </c>
      <c r="B444" s="3108">
        <v>0.85529999999999995</v>
      </c>
      <c r="C444" s="3108">
        <v>0.85529999999999995</v>
      </c>
      <c r="D444" s="3108">
        <v>0.78620000000000001</v>
      </c>
      <c r="E444" s="3108">
        <v>0.78620000000000001</v>
      </c>
      <c r="F444" s="3108">
        <v>0.78620000000000001</v>
      </c>
      <c r="G444" s="3108">
        <v>0.78620000000000001</v>
      </c>
      <c r="H444" s="3108">
        <v>0.78620000000000001</v>
      </c>
      <c r="I444" s="3108">
        <v>0.62809999999999999</v>
      </c>
      <c r="J444" s="3108">
        <v>0.62809999999999999</v>
      </c>
      <c r="K444" s="3108">
        <v>0.62809999999999999</v>
      </c>
      <c r="L444" s="3108">
        <v>0.62809999999999999</v>
      </c>
      <c r="M444" s="3109">
        <v>0.62809999999999999</v>
      </c>
    </row>
    <row r="445" spans="1:13">
      <c r="A445" s="3107">
        <v>8.4</v>
      </c>
      <c r="B445" s="3108">
        <v>0.85389999999999999</v>
      </c>
      <c r="C445" s="3108">
        <v>0.85389999999999999</v>
      </c>
      <c r="D445" s="3108">
        <v>0.78459999999999996</v>
      </c>
      <c r="E445" s="3108">
        <v>0.78459999999999996</v>
      </c>
      <c r="F445" s="3108">
        <v>0.78459999999999996</v>
      </c>
      <c r="G445" s="3108">
        <v>0.78459999999999996</v>
      </c>
      <c r="H445" s="3108">
        <v>0.78459999999999996</v>
      </c>
      <c r="I445" s="3108">
        <v>0.62609999999999999</v>
      </c>
      <c r="J445" s="3108">
        <v>0.62609999999999999</v>
      </c>
      <c r="K445" s="3108">
        <v>0.62609999999999999</v>
      </c>
      <c r="L445" s="3108">
        <v>0.62609999999999999</v>
      </c>
      <c r="M445" s="3109">
        <v>0.62609999999999999</v>
      </c>
    </row>
    <row r="446" spans="1:13">
      <c r="A446" s="3107">
        <v>8.5</v>
      </c>
      <c r="B446" s="3108">
        <v>0.85260000000000002</v>
      </c>
      <c r="C446" s="3108">
        <v>0.85260000000000002</v>
      </c>
      <c r="D446" s="3108">
        <v>0.78290000000000004</v>
      </c>
      <c r="E446" s="3108">
        <v>0.78290000000000004</v>
      </c>
      <c r="F446" s="3108">
        <v>0.78290000000000004</v>
      </c>
      <c r="G446" s="3108">
        <v>0.78290000000000004</v>
      </c>
      <c r="H446" s="3108">
        <v>0.78290000000000004</v>
      </c>
      <c r="I446" s="3108">
        <v>0.62419999999999998</v>
      </c>
      <c r="J446" s="3108">
        <v>0.62419999999999998</v>
      </c>
      <c r="K446" s="3108">
        <v>0.62419999999999998</v>
      </c>
      <c r="L446" s="3108">
        <v>0.62419999999999998</v>
      </c>
      <c r="M446" s="3109">
        <v>0.62419999999999998</v>
      </c>
    </row>
    <row r="447" spans="1:13">
      <c r="A447" s="3107">
        <v>8.6</v>
      </c>
      <c r="B447" s="3108">
        <v>0.85129999999999995</v>
      </c>
      <c r="C447" s="3108">
        <v>0.85129999999999995</v>
      </c>
      <c r="D447" s="3108">
        <v>0.78129999999999999</v>
      </c>
      <c r="E447" s="3108">
        <v>0.78129999999999999</v>
      </c>
      <c r="F447" s="3108">
        <v>0.78129999999999999</v>
      </c>
      <c r="G447" s="3108">
        <v>0.78129999999999999</v>
      </c>
      <c r="H447" s="3108">
        <v>0.78129999999999999</v>
      </c>
      <c r="I447" s="3108">
        <v>0.62229999999999996</v>
      </c>
      <c r="J447" s="3108">
        <v>0.62229999999999996</v>
      </c>
      <c r="K447" s="3108">
        <v>0.62229999999999996</v>
      </c>
      <c r="L447" s="3108">
        <v>0.62229999999999996</v>
      </c>
      <c r="M447" s="3109">
        <v>0.62229999999999996</v>
      </c>
    </row>
    <row r="448" spans="1:13">
      <c r="A448" s="3107">
        <v>8.6999999999999993</v>
      </c>
      <c r="B448" s="3108">
        <v>0.85</v>
      </c>
      <c r="C448" s="3108">
        <v>0.85</v>
      </c>
      <c r="D448" s="3108">
        <v>0.77969999999999995</v>
      </c>
      <c r="E448" s="3108">
        <v>0.77969999999999995</v>
      </c>
      <c r="F448" s="3108">
        <v>0.77969999999999995</v>
      </c>
      <c r="G448" s="3108">
        <v>0.77969999999999995</v>
      </c>
      <c r="H448" s="3108">
        <v>0.77969999999999995</v>
      </c>
      <c r="I448" s="3108">
        <v>0.62039999999999995</v>
      </c>
      <c r="J448" s="3108">
        <v>0.62039999999999995</v>
      </c>
      <c r="K448" s="3108">
        <v>0.62039999999999995</v>
      </c>
      <c r="L448" s="3108">
        <v>0.62039999999999995</v>
      </c>
      <c r="M448" s="3109">
        <v>0.62039999999999995</v>
      </c>
    </row>
    <row r="449" spans="1:13">
      <c r="A449" s="3107">
        <v>8.8000000000000007</v>
      </c>
      <c r="B449" s="3108">
        <v>0.84860000000000002</v>
      </c>
      <c r="C449" s="3108">
        <v>0.84860000000000002</v>
      </c>
      <c r="D449" s="3108">
        <v>0.7782</v>
      </c>
      <c r="E449" s="3108">
        <v>0.7782</v>
      </c>
      <c r="F449" s="3108">
        <v>0.7782</v>
      </c>
      <c r="G449" s="3108">
        <v>0.7782</v>
      </c>
      <c r="H449" s="3108">
        <v>0.7782</v>
      </c>
      <c r="I449" s="3108">
        <v>0.61850000000000005</v>
      </c>
      <c r="J449" s="3108">
        <v>0.61850000000000005</v>
      </c>
      <c r="K449" s="3108">
        <v>0.61850000000000005</v>
      </c>
      <c r="L449" s="3108">
        <v>0.61850000000000005</v>
      </c>
      <c r="M449" s="3109">
        <v>0.61850000000000005</v>
      </c>
    </row>
    <row r="450" spans="1:13">
      <c r="A450" s="3107">
        <v>8.9</v>
      </c>
      <c r="B450" s="3108">
        <v>0.84740000000000004</v>
      </c>
      <c r="C450" s="3108">
        <v>0.84740000000000004</v>
      </c>
      <c r="D450" s="3108">
        <v>0.77669999999999995</v>
      </c>
      <c r="E450" s="3108">
        <v>0.77669999999999995</v>
      </c>
      <c r="F450" s="3108">
        <v>0.77669999999999995</v>
      </c>
      <c r="G450" s="3108">
        <v>0.77669999999999995</v>
      </c>
      <c r="H450" s="3108">
        <v>0.77669999999999995</v>
      </c>
      <c r="I450" s="3108">
        <v>0.61670000000000003</v>
      </c>
      <c r="J450" s="3108">
        <v>0.61670000000000003</v>
      </c>
      <c r="K450" s="3108">
        <v>0.61670000000000003</v>
      </c>
      <c r="L450" s="3108">
        <v>0.61670000000000003</v>
      </c>
      <c r="M450" s="3109">
        <v>0.61670000000000003</v>
      </c>
    </row>
    <row r="451" spans="1:13">
      <c r="A451" s="3110">
        <v>9</v>
      </c>
      <c r="B451" s="3108">
        <v>0.84619999999999995</v>
      </c>
      <c r="C451" s="3108">
        <v>0.84619999999999995</v>
      </c>
      <c r="D451" s="3108">
        <v>0.77510000000000001</v>
      </c>
      <c r="E451" s="3108">
        <v>0.77510000000000001</v>
      </c>
      <c r="F451" s="3108">
        <v>0.77510000000000001</v>
      </c>
      <c r="G451" s="3108">
        <v>0.77510000000000001</v>
      </c>
      <c r="H451" s="3108">
        <v>0.77510000000000001</v>
      </c>
      <c r="I451" s="3108">
        <v>0.61480000000000001</v>
      </c>
      <c r="J451" s="3108">
        <v>0.61480000000000001</v>
      </c>
      <c r="K451" s="3108">
        <v>0.61480000000000001</v>
      </c>
      <c r="L451" s="3108">
        <v>0.61480000000000001</v>
      </c>
      <c r="M451" s="3109">
        <v>0.61480000000000001</v>
      </c>
    </row>
    <row r="452" spans="1:13">
      <c r="A452" s="3110">
        <v>9.1</v>
      </c>
      <c r="B452" s="3108">
        <v>0.84499999999999997</v>
      </c>
      <c r="C452" s="3108">
        <v>0.84499999999999997</v>
      </c>
      <c r="D452" s="3108">
        <v>0.77359999999999995</v>
      </c>
      <c r="E452" s="3108">
        <v>0.77359999999999995</v>
      </c>
      <c r="F452" s="3108">
        <v>0.77359999999999995</v>
      </c>
      <c r="G452" s="3108">
        <v>0.77359999999999995</v>
      </c>
      <c r="H452" s="3108">
        <v>0.77359999999999995</v>
      </c>
      <c r="I452" s="3108">
        <v>0.61299999999999999</v>
      </c>
      <c r="J452" s="3108">
        <v>0.61299999999999999</v>
      </c>
      <c r="K452" s="3108">
        <v>0.61299999999999999</v>
      </c>
      <c r="L452" s="3108">
        <v>0.61299999999999999</v>
      </c>
      <c r="M452" s="3109">
        <v>0.61299999999999999</v>
      </c>
    </row>
    <row r="453" spans="1:13">
      <c r="A453" s="3110">
        <v>9.1999999999999993</v>
      </c>
      <c r="B453" s="3108">
        <v>0.84370000000000001</v>
      </c>
      <c r="C453" s="3108">
        <v>0.84370000000000001</v>
      </c>
      <c r="D453" s="3108">
        <v>0.77210000000000001</v>
      </c>
      <c r="E453" s="3108">
        <v>0.77210000000000001</v>
      </c>
      <c r="F453" s="3108">
        <v>0.77210000000000001</v>
      </c>
      <c r="G453" s="3108">
        <v>0.77210000000000001</v>
      </c>
      <c r="H453" s="3108">
        <v>0.77210000000000001</v>
      </c>
      <c r="I453" s="3108">
        <v>0.61119999999999997</v>
      </c>
      <c r="J453" s="3108">
        <v>0.61119999999999997</v>
      </c>
      <c r="K453" s="3108">
        <v>0.61119999999999997</v>
      </c>
      <c r="L453" s="3108">
        <v>0.61119999999999997</v>
      </c>
      <c r="M453" s="3109">
        <v>0.61119999999999997</v>
      </c>
    </row>
    <row r="454" spans="1:13">
      <c r="A454" s="3110">
        <v>9.3000000000000007</v>
      </c>
      <c r="B454" s="3108">
        <v>0.84250000000000003</v>
      </c>
      <c r="C454" s="3108">
        <v>0.84250000000000003</v>
      </c>
      <c r="D454" s="3108">
        <v>0.77059999999999995</v>
      </c>
      <c r="E454" s="3108">
        <v>0.77059999999999995</v>
      </c>
      <c r="F454" s="3108">
        <v>0.77059999999999995</v>
      </c>
      <c r="G454" s="3108">
        <v>0.77059999999999995</v>
      </c>
      <c r="H454" s="3108">
        <v>0.77059999999999995</v>
      </c>
      <c r="I454" s="3108">
        <v>0.60940000000000005</v>
      </c>
      <c r="J454" s="3108">
        <v>0.60940000000000005</v>
      </c>
      <c r="K454" s="3108">
        <v>0.60940000000000005</v>
      </c>
      <c r="L454" s="3108">
        <v>0.60940000000000005</v>
      </c>
      <c r="M454" s="3109">
        <v>0.60940000000000005</v>
      </c>
    </row>
    <row r="455" spans="1:13">
      <c r="A455" s="3110">
        <v>9.4</v>
      </c>
      <c r="B455" s="3108">
        <v>0.84130000000000005</v>
      </c>
      <c r="C455" s="3108">
        <v>0.84130000000000005</v>
      </c>
      <c r="D455" s="3108">
        <v>0.76900000000000002</v>
      </c>
      <c r="E455" s="3108">
        <v>0.76900000000000002</v>
      </c>
      <c r="F455" s="3108">
        <v>0.76900000000000002</v>
      </c>
      <c r="G455" s="3108">
        <v>0.76900000000000002</v>
      </c>
      <c r="H455" s="3108">
        <v>0.76900000000000002</v>
      </c>
      <c r="I455" s="3108">
        <v>0.60760000000000003</v>
      </c>
      <c r="J455" s="3108">
        <v>0.60760000000000003</v>
      </c>
      <c r="K455" s="3108">
        <v>0.60760000000000003</v>
      </c>
      <c r="L455" s="3108">
        <v>0.60760000000000003</v>
      </c>
      <c r="M455" s="3109">
        <v>0.60760000000000003</v>
      </c>
    </row>
    <row r="456" spans="1:13">
      <c r="A456" s="3110">
        <v>9.5</v>
      </c>
      <c r="B456" s="3108">
        <v>0.84009999999999996</v>
      </c>
      <c r="C456" s="3108">
        <v>0.84009999999999996</v>
      </c>
      <c r="D456" s="3108">
        <v>0.76759999999999995</v>
      </c>
      <c r="E456" s="3108">
        <v>0.76759999999999995</v>
      </c>
      <c r="F456" s="3108">
        <v>0.76759999999999995</v>
      </c>
      <c r="G456" s="3108">
        <v>0.76759999999999995</v>
      </c>
      <c r="H456" s="3108">
        <v>0.76759999999999995</v>
      </c>
      <c r="I456" s="3108">
        <v>0.60580000000000001</v>
      </c>
      <c r="J456" s="3108">
        <v>0.60580000000000001</v>
      </c>
      <c r="K456" s="3108">
        <v>0.60580000000000001</v>
      </c>
      <c r="L456" s="3108">
        <v>0.60580000000000001</v>
      </c>
      <c r="M456" s="3109">
        <v>0.60580000000000001</v>
      </c>
    </row>
    <row r="457" spans="1:13">
      <c r="A457" s="3110">
        <v>9.6</v>
      </c>
      <c r="B457" s="3108">
        <v>0.83899999999999997</v>
      </c>
      <c r="C457" s="3108">
        <v>0.83899999999999997</v>
      </c>
      <c r="D457" s="3108">
        <v>0.76619999999999999</v>
      </c>
      <c r="E457" s="3108">
        <v>0.76619999999999999</v>
      </c>
      <c r="F457" s="3108">
        <v>0.76619999999999999</v>
      </c>
      <c r="G457" s="3108">
        <v>0.76619999999999999</v>
      </c>
      <c r="H457" s="3108">
        <v>0.76619999999999999</v>
      </c>
      <c r="I457" s="3108">
        <v>0.60409999999999997</v>
      </c>
      <c r="J457" s="3108">
        <v>0.60409999999999997</v>
      </c>
      <c r="K457" s="3108">
        <v>0.60409999999999997</v>
      </c>
      <c r="L457" s="3108">
        <v>0.60409999999999997</v>
      </c>
      <c r="M457" s="3109">
        <v>0.60409999999999997</v>
      </c>
    </row>
    <row r="458" spans="1:13">
      <c r="A458" s="3110">
        <v>9.6999999999999993</v>
      </c>
      <c r="B458" s="3108">
        <v>0.83779999999999999</v>
      </c>
      <c r="C458" s="3108">
        <v>0.83779999999999999</v>
      </c>
      <c r="D458" s="3108">
        <v>0.76480000000000004</v>
      </c>
      <c r="E458" s="3108">
        <v>0.76480000000000004</v>
      </c>
      <c r="F458" s="3108">
        <v>0.76480000000000004</v>
      </c>
      <c r="G458" s="3108">
        <v>0.76480000000000004</v>
      </c>
      <c r="H458" s="3108">
        <v>0.76480000000000004</v>
      </c>
      <c r="I458" s="3108">
        <v>0.60240000000000005</v>
      </c>
      <c r="J458" s="3108">
        <v>0.60240000000000005</v>
      </c>
      <c r="K458" s="3108">
        <v>0.60240000000000005</v>
      </c>
      <c r="L458" s="3108">
        <v>0.60240000000000005</v>
      </c>
      <c r="M458" s="3109">
        <v>0.60240000000000005</v>
      </c>
    </row>
    <row r="459" spans="1:13">
      <c r="A459" s="3110">
        <v>9.8000000000000007</v>
      </c>
      <c r="B459" s="3108">
        <v>0.8367</v>
      </c>
      <c r="C459" s="3108">
        <v>0.8367</v>
      </c>
      <c r="D459" s="3108">
        <v>0.76329999999999998</v>
      </c>
      <c r="E459" s="3108">
        <v>0.76329999999999998</v>
      </c>
      <c r="F459" s="3108">
        <v>0.76329999999999998</v>
      </c>
      <c r="G459" s="3108">
        <v>0.76329999999999998</v>
      </c>
      <c r="H459" s="3108">
        <v>0.76329999999999998</v>
      </c>
      <c r="I459" s="3108">
        <v>0.60060000000000002</v>
      </c>
      <c r="J459" s="3108">
        <v>0.60060000000000002</v>
      </c>
      <c r="K459" s="3108">
        <v>0.60060000000000002</v>
      </c>
      <c r="L459" s="3108">
        <v>0.60060000000000002</v>
      </c>
      <c r="M459" s="3109">
        <v>0.60060000000000002</v>
      </c>
    </row>
    <row r="460" spans="1:13" ht="14.25" thickBot="1">
      <c r="A460" s="3111">
        <v>9.9</v>
      </c>
      <c r="B460" s="3112">
        <v>0.83560000000000001</v>
      </c>
      <c r="C460" s="3112">
        <v>0.83560000000000001</v>
      </c>
      <c r="D460" s="3112">
        <v>0.76190000000000002</v>
      </c>
      <c r="E460" s="3112">
        <v>0.76190000000000002</v>
      </c>
      <c r="F460" s="3112">
        <v>0.76190000000000002</v>
      </c>
      <c r="G460" s="3112">
        <v>0.76190000000000002</v>
      </c>
      <c r="H460" s="3112">
        <v>0.76190000000000002</v>
      </c>
      <c r="I460" s="3112">
        <v>0.59889999999999999</v>
      </c>
      <c r="J460" s="3112">
        <v>0.59889999999999999</v>
      </c>
      <c r="K460" s="3112">
        <v>0.59889999999999999</v>
      </c>
      <c r="L460" s="3112">
        <v>0.59889999999999999</v>
      </c>
      <c r="M460" s="311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38279</v>
      </c>
      <c r="C2" s="2" t="s">
        <v>106</v>
      </c>
      <c r="D2" s="199"/>
      <c r="E2" s="199"/>
      <c r="F2" s="199"/>
      <c r="G2" s="199"/>
    </row>
    <row r="3" spans="1:7" s="200" customFormat="1" ht="18" customHeight="1" thickBot="1">
      <c r="A3" s="203" t="s">
        <v>58</v>
      </c>
      <c r="B3" s="204">
        <f ca="1">ROUND(B2*10000/'数据-汇总表'!E3,0)</f>
        <v>21800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351</v>
      </c>
      <c r="D10" s="845">
        <f>'数据-汇总表'!E6</f>
        <v>17559.11</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351</v>
      </c>
      <c r="D19" s="849">
        <f>'数据-汇总表'!E3</f>
        <v>17559.11</v>
      </c>
      <c r="E19" s="211">
        <f>'数据-取费表'!B31</f>
        <v>200</v>
      </c>
      <c r="F19" s="231"/>
      <c r="G19" s="1" t="s">
        <v>436</v>
      </c>
    </row>
    <row r="20" spans="1:7" s="214" customFormat="1" ht="13.5" customHeight="1">
      <c r="A20" s="777" t="s">
        <v>419</v>
      </c>
      <c r="B20" s="210" t="s">
        <v>77</v>
      </c>
      <c r="C20" s="232">
        <f>ROUND((C5+C19)*F20,0)</f>
        <v>629</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1494</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25</v>
      </c>
      <c r="D24" s="238"/>
      <c r="E24" s="238"/>
      <c r="F24" s="239"/>
      <c r="G24" s="240" t="s">
        <v>82</v>
      </c>
    </row>
    <row r="25" spans="1:7" s="214" customFormat="1" ht="24">
      <c r="A25" s="780" t="s">
        <v>348</v>
      </c>
      <c r="B25" s="215" t="s">
        <v>420</v>
      </c>
      <c r="C25" s="1105">
        <f ca="1">ROUND(IF('数据-取费表'!B22&lt;=1,C20*F22*'数据-取费表'!B23/2,C20*(POWER((1+F22),'数据-取费表'!B23/2)-1)),0)</f>
        <v>22</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2159</v>
      </c>
      <c r="D27" s="235">
        <f>C29</f>
        <v>3.0000000000000001E-3</v>
      </c>
      <c r="E27" s="236" t="s">
        <v>99</v>
      </c>
      <c r="F27" s="246">
        <f>'数据-取费表'!Q16</f>
        <v>0.1</v>
      </c>
      <c r="G27" s="247" t="s">
        <v>431</v>
      </c>
    </row>
    <row r="28" spans="1:7" s="214" customFormat="1" ht="13.5" customHeight="1">
      <c r="A28" s="780" t="s">
        <v>349</v>
      </c>
      <c r="B28" s="248" t="s">
        <v>424</v>
      </c>
      <c r="C28" s="249">
        <f>ROUND((C5+C19+C20)*F27*'数据-取费表'!B21/'数据-取费表'!B20,0)</f>
        <v>2159</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27630</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9570</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8780</v>
      </c>
      <c r="D34" s="217"/>
      <c r="E34" s="220"/>
      <c r="F34" s="257">
        <f>IF('数据-取费表'!B24=0,1,'数据-取费表'!N16)</f>
        <v>1</v>
      </c>
      <c r="G34" s="219" t="s">
        <v>89</v>
      </c>
    </row>
    <row r="35" spans="1:7" ht="13.5" customHeight="1">
      <c r="A35" s="780" t="s">
        <v>351</v>
      </c>
      <c r="B35" s="215" t="s">
        <v>33</v>
      </c>
      <c r="C35" s="220">
        <f>ROUND(C34*F35,0)</f>
        <v>263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351</v>
      </c>
      <c r="D37" s="217">
        <f>'数据-汇总表'!E3</f>
        <v>17559.11</v>
      </c>
      <c r="E37" s="249">
        <f>'数据-取费表'!B35</f>
        <v>200</v>
      </c>
      <c r="F37" s="259"/>
      <c r="G37" s="261" t="s">
        <v>92</v>
      </c>
    </row>
    <row r="38" spans="1:7" ht="13.5" customHeight="1">
      <c r="A38" s="780" t="s">
        <v>354</v>
      </c>
      <c r="B38" s="215" t="s">
        <v>36</v>
      </c>
      <c r="C38" s="220">
        <f>ROUND(C34*F38,0)</f>
        <v>176</v>
      </c>
      <c r="D38" s="220"/>
      <c r="E38" s="220"/>
      <c r="F38" s="259">
        <f>'数据-取费表'!B36</f>
        <v>0.02</v>
      </c>
      <c r="G38" s="219" t="s">
        <v>90</v>
      </c>
    </row>
    <row r="39" spans="1:7" s="214" customFormat="1" ht="13.5" customHeight="1">
      <c r="A39" s="777" t="s">
        <v>338</v>
      </c>
      <c r="B39" s="210" t="s">
        <v>77</v>
      </c>
      <c r="C39" s="232">
        <f>ROUND(C33*F20,0)</f>
        <v>287</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340</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330</v>
      </c>
      <c r="D42" s="238"/>
      <c r="E42" s="238"/>
      <c r="F42" s="239"/>
      <c r="G42" s="3675" t="s">
        <v>94</v>
      </c>
    </row>
    <row r="43" spans="1:7" ht="13.5" customHeight="1">
      <c r="A43" s="780" t="s">
        <v>347</v>
      </c>
      <c r="B43" s="215" t="s">
        <v>426</v>
      </c>
      <c r="C43" s="238">
        <f ca="1">ROUND(IF('数据-取费表'!B22&lt;=1,C39*F22*'数据-取费表'!B21/2,C39*(POWER((1+F22),'数据-取费表'!B21/2)-1)),0)</f>
        <v>10</v>
      </c>
      <c r="D43" s="238"/>
      <c r="E43" s="238"/>
      <c r="F43" s="239"/>
      <c r="G43" s="3676"/>
    </row>
    <row r="44" spans="1:7" ht="13.5" customHeight="1">
      <c r="A44" s="780" t="s">
        <v>348</v>
      </c>
      <c r="B44" s="215" t="s">
        <v>428</v>
      </c>
      <c r="C44" s="238">
        <f ca="1">ROUND(IF('数据-取费表'!B22&lt;=1,C40*F22*'数据-取费表'!B21/2,C40*(POWER((1+F22),'数据-取费表'!B21/2)-1)),4)</f>
        <v>1E-3</v>
      </c>
      <c r="D44" s="238"/>
      <c r="E44" s="238"/>
      <c r="F44" s="239"/>
      <c r="G44" s="3677"/>
    </row>
    <row r="45" spans="1:7" s="214" customFormat="1" ht="13.5" customHeight="1">
      <c r="A45" s="777" t="s">
        <v>341</v>
      </c>
      <c r="B45" s="244" t="s">
        <v>85</v>
      </c>
      <c r="C45" s="245">
        <f>C46</f>
        <v>986</v>
      </c>
      <c r="D45" s="235">
        <f>C47</f>
        <v>3.0000000000000001E-3</v>
      </c>
      <c r="E45" s="236" t="s">
        <v>102</v>
      </c>
      <c r="F45" s="246"/>
      <c r="G45" s="247" t="s">
        <v>434</v>
      </c>
    </row>
    <row r="46" spans="1:7" s="214" customFormat="1" ht="13.5" customHeight="1">
      <c r="A46" s="780" t="s">
        <v>349</v>
      </c>
      <c r="B46" s="248" t="s">
        <v>427</v>
      </c>
      <c r="C46" s="249">
        <f>ROUND((C33+C39)*F27,0)</f>
        <v>986</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12240</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10649</v>
      </c>
      <c r="D51" s="232"/>
      <c r="E51" s="232"/>
      <c r="F51" s="264"/>
      <c r="G51" s="234" t="s">
        <v>37</v>
      </c>
    </row>
    <row r="52" spans="1:7" s="208" customFormat="1" ht="16.5" thickBot="1">
      <c r="A52" s="265" t="s">
        <v>38</v>
      </c>
      <c r="B52" s="266"/>
      <c r="C52" s="267">
        <f ca="1">C31+C51</f>
        <v>38279</v>
      </c>
      <c r="D52" s="266"/>
      <c r="E52" s="266"/>
      <c r="F52" s="266"/>
      <c r="G52" s="268"/>
    </row>
    <row r="55" spans="1:7" ht="15">
      <c r="B55" s="270" t="s">
        <v>39</v>
      </c>
      <c r="C55" s="271"/>
    </row>
    <row r="56" spans="1:7">
      <c r="B56" s="273" t="s">
        <v>40</v>
      </c>
      <c r="C56" s="274">
        <f ca="1">ROUND(C51/C52,3)</f>
        <v>0.27800000000000002</v>
      </c>
    </row>
    <row r="57" spans="1:7">
      <c r="B57" s="273" t="s">
        <v>41</v>
      </c>
      <c r="C57" s="275">
        <f ca="1">1-C56</f>
        <v>0.72199999999999998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0" customWidth="1"/>
    <col min="2" max="2" width="18.625" style="3200" customWidth="1"/>
    <col min="3" max="6" width="10.25" style="3200" customWidth="1"/>
    <col min="7" max="7" width="10.5" style="3200" bestFit="1" customWidth="1"/>
    <col min="8" max="8" width="8.875" style="3196"/>
    <col min="9" max="9" width="13.375" style="3196" customWidth="1"/>
    <col min="10" max="13" width="13.375" style="3200" customWidth="1"/>
    <col min="14" max="14" width="18.25" style="3200" customWidth="1"/>
    <col min="15" max="17" width="15.125" style="3200" customWidth="1"/>
    <col min="18" max="20" width="11.5" style="3200" customWidth="1"/>
    <col min="21" max="16384" width="8.875" style="3200"/>
  </cols>
  <sheetData>
    <row r="1" spans="1:20" ht="12" thickBot="1">
      <c r="A1" s="3814" t="s">
        <v>2815</v>
      </c>
      <c r="B1" s="3814"/>
      <c r="C1" s="3814"/>
      <c r="D1" s="3814"/>
      <c r="E1" s="3814"/>
      <c r="F1" s="3814"/>
      <c r="G1" s="3815"/>
      <c r="I1" s="3197" t="s">
        <v>2816</v>
      </c>
      <c r="J1" s="3198" t="s">
        <v>2817</v>
      </c>
      <c r="K1" s="3198" t="s">
        <v>2818</v>
      </c>
      <c r="L1" s="3198" t="s">
        <v>2819</v>
      </c>
      <c r="M1" s="3198" t="s">
        <v>2820</v>
      </c>
      <c r="N1" s="3198" t="s">
        <v>2821</v>
      </c>
      <c r="O1" s="3198" t="s">
        <v>2822</v>
      </c>
      <c r="P1" s="3198" t="s">
        <v>2823</v>
      </c>
      <c r="Q1" s="3198" t="s">
        <v>2824</v>
      </c>
      <c r="R1" s="3198" t="s">
        <v>2825</v>
      </c>
      <c r="S1" s="3198" t="s">
        <v>2826</v>
      </c>
      <c r="T1" s="3199" t="s">
        <v>2827</v>
      </c>
    </row>
    <row r="2" spans="1:20" ht="12" thickBot="1">
      <c r="A2" s="3201" t="s">
        <v>2828</v>
      </c>
      <c r="B2" s="3201"/>
      <c r="C2" s="3201"/>
      <c r="D2" s="3201"/>
      <c r="E2" s="3201"/>
      <c r="F2" s="3201"/>
      <c r="G2" s="3202" t="s">
        <v>2829</v>
      </c>
      <c r="I2" s="3203" t="s">
        <v>2830</v>
      </c>
      <c r="J2" s="3203" t="s">
        <v>2831</v>
      </c>
      <c r="K2" s="3203" t="s">
        <v>2832</v>
      </c>
      <c r="L2" s="3203" t="s">
        <v>2833</v>
      </c>
      <c r="M2" s="3203" t="s">
        <v>2834</v>
      </c>
      <c r="N2" s="3203" t="s">
        <v>2835</v>
      </c>
      <c r="O2" s="3203" t="s">
        <v>2836</v>
      </c>
      <c r="P2" s="3203" t="s">
        <v>2837</v>
      </c>
      <c r="Q2" s="3203" t="s">
        <v>2838</v>
      </c>
      <c r="R2" s="3203" t="s">
        <v>2839</v>
      </c>
      <c r="S2" s="3203" t="s">
        <v>2840</v>
      </c>
      <c r="T2" s="3203" t="s">
        <v>2841</v>
      </c>
    </row>
    <row r="3" spans="1:20" s="3209" customFormat="1">
      <c r="A3" s="3812" t="s">
        <v>2842</v>
      </c>
      <c r="B3" s="3204"/>
      <c r="C3" s="3205" t="s">
        <v>2787</v>
      </c>
      <c r="D3" s="3205" t="s">
        <v>2843</v>
      </c>
      <c r="E3" s="3205" t="s">
        <v>2789</v>
      </c>
      <c r="F3" s="3205" t="s">
        <v>2844</v>
      </c>
      <c r="G3" s="3205" t="s">
        <v>2607</v>
      </c>
      <c r="H3" s="3206"/>
      <c r="I3" s="3207" t="s">
        <v>2845</v>
      </c>
      <c r="J3" s="3208" t="s">
        <v>128</v>
      </c>
      <c r="K3" s="3208" t="s">
        <v>129</v>
      </c>
      <c r="L3" s="3207" t="s">
        <v>130</v>
      </c>
      <c r="M3" s="3207" t="s">
        <v>131</v>
      </c>
      <c r="N3" s="3207" t="s">
        <v>132</v>
      </c>
      <c r="O3" s="3207" t="s">
        <v>133</v>
      </c>
      <c r="P3" s="3207" t="s">
        <v>134</v>
      </c>
      <c r="Q3" s="3207" t="s">
        <v>135</v>
      </c>
      <c r="R3" s="3207" t="s">
        <v>136</v>
      </c>
      <c r="S3" s="3207" t="s">
        <v>2846</v>
      </c>
      <c r="T3" s="3207" t="s">
        <v>2847</v>
      </c>
    </row>
    <row r="4" spans="1:20" s="3209" customFormat="1" ht="12" thickBot="1">
      <c r="A4" s="3813"/>
      <c r="B4" s="3210" t="s">
        <v>2848</v>
      </c>
      <c r="C4" s="3210" t="s">
        <v>2849</v>
      </c>
      <c r="D4" s="3210" t="s">
        <v>2849</v>
      </c>
      <c r="E4" s="3210" t="s">
        <v>2849</v>
      </c>
      <c r="F4" s="3211" t="s">
        <v>2849</v>
      </c>
      <c r="G4" s="3211" t="s">
        <v>2849</v>
      </c>
      <c r="H4" s="3206"/>
      <c r="I4" s="3208" t="s">
        <v>137</v>
      </c>
      <c r="J4" s="3208" t="s">
        <v>111</v>
      </c>
      <c r="K4" s="3208" t="s">
        <v>138</v>
      </c>
      <c r="L4" s="3207" t="s">
        <v>139</v>
      </c>
      <c r="M4" s="3207" t="s">
        <v>140</v>
      </c>
      <c r="N4" s="3207" t="s">
        <v>141</v>
      </c>
      <c r="O4" s="3207" t="s">
        <v>142</v>
      </c>
      <c r="P4" s="3207" t="s">
        <v>143</v>
      </c>
      <c r="Q4" s="3207" t="s">
        <v>2850</v>
      </c>
      <c r="R4" s="3207" t="s">
        <v>2851</v>
      </c>
      <c r="S4" s="3207" t="s">
        <v>2852</v>
      </c>
      <c r="T4" s="3207" t="s">
        <v>2853</v>
      </c>
    </row>
    <row r="5" spans="1:20">
      <c r="A5" s="3212" t="s">
        <v>2816</v>
      </c>
      <c r="B5" s="3203" t="s">
        <v>2830</v>
      </c>
      <c r="C5" s="3203">
        <v>34550</v>
      </c>
      <c r="D5" s="3203">
        <v>34470</v>
      </c>
      <c r="E5" s="3203">
        <v>34330</v>
      </c>
      <c r="F5" s="3203">
        <v>13400</v>
      </c>
      <c r="G5" s="3203">
        <v>25450</v>
      </c>
      <c r="H5" s="3206"/>
      <c r="I5" s="3207" t="s">
        <v>145</v>
      </c>
      <c r="J5" s="3208" t="s">
        <v>146</v>
      </c>
      <c r="K5" s="3208" t="s">
        <v>147</v>
      </c>
      <c r="L5" s="3207" t="s">
        <v>148</v>
      </c>
      <c r="M5" s="3207" t="s">
        <v>149</v>
      </c>
      <c r="N5" s="3207" t="s">
        <v>150</v>
      </c>
      <c r="O5" s="3207" t="s">
        <v>151</v>
      </c>
      <c r="P5" s="3207" t="s">
        <v>152</v>
      </c>
      <c r="Q5" s="3207" t="s">
        <v>2854</v>
      </c>
      <c r="R5" s="3207" t="s">
        <v>2855</v>
      </c>
      <c r="S5" s="3207" t="s">
        <v>153</v>
      </c>
      <c r="T5" s="3207" t="s">
        <v>2856</v>
      </c>
    </row>
    <row r="6" spans="1:20" ht="12" thickBot="1">
      <c r="A6" s="3207" t="s">
        <v>144</v>
      </c>
      <c r="B6" s="3207" t="s">
        <v>2845</v>
      </c>
      <c r="C6" s="3207">
        <v>36990</v>
      </c>
      <c r="D6" s="3207">
        <v>36850</v>
      </c>
      <c r="E6" s="3207">
        <v>36700</v>
      </c>
      <c r="F6" s="3207">
        <v>14590</v>
      </c>
      <c r="G6" s="3207">
        <v>27450</v>
      </c>
      <c r="H6" s="3206"/>
      <c r="I6" s="3213" t="s">
        <v>154</v>
      </c>
      <c r="J6" s="3208" t="s">
        <v>155</v>
      </c>
      <c r="K6" s="3208" t="s">
        <v>156</v>
      </c>
      <c r="L6" s="3207" t="s">
        <v>157</v>
      </c>
      <c r="M6" s="3207" t="s">
        <v>158</v>
      </c>
      <c r="N6" s="3207" t="s">
        <v>159</v>
      </c>
      <c r="O6" s="3207" t="s">
        <v>160</v>
      </c>
      <c r="P6" s="3207" t="s">
        <v>2857</v>
      </c>
      <c r="Q6" s="3207" t="s">
        <v>2858</v>
      </c>
      <c r="R6" s="3207" t="s">
        <v>161</v>
      </c>
      <c r="S6" s="3207" t="s">
        <v>2859</v>
      </c>
      <c r="T6" s="3207" t="s">
        <v>2860</v>
      </c>
    </row>
    <row r="7" spans="1:20">
      <c r="A7" s="3207" t="s">
        <v>144</v>
      </c>
      <c r="B7" s="3208" t="s">
        <v>137</v>
      </c>
      <c r="C7" s="3207">
        <v>34850</v>
      </c>
      <c r="D7" s="3207">
        <v>34690</v>
      </c>
      <c r="E7" s="3207">
        <v>34550</v>
      </c>
      <c r="F7" s="3207">
        <v>14360</v>
      </c>
      <c r="G7" s="3207">
        <v>25620</v>
      </c>
      <c r="H7" s="3206"/>
      <c r="J7" s="3208" t="s">
        <v>162</v>
      </c>
      <c r="K7" s="3208" t="s">
        <v>163</v>
      </c>
      <c r="L7" s="3207" t="s">
        <v>164</v>
      </c>
      <c r="M7" s="3207" t="s">
        <v>165</v>
      </c>
      <c r="N7" s="3207" t="s">
        <v>166</v>
      </c>
      <c r="O7" s="3207" t="s">
        <v>167</v>
      </c>
      <c r="P7" s="3207" t="s">
        <v>2861</v>
      </c>
      <c r="Q7" s="3207" t="s">
        <v>2862</v>
      </c>
      <c r="R7" s="3207" t="s">
        <v>2863</v>
      </c>
      <c r="S7" s="3207" t="s">
        <v>2864</v>
      </c>
      <c r="T7" s="3207" t="s">
        <v>2865</v>
      </c>
    </row>
    <row r="8" spans="1:20" ht="12" thickBot="1">
      <c r="A8" s="3207" t="s">
        <v>144</v>
      </c>
      <c r="B8" s="3207" t="s">
        <v>145</v>
      </c>
      <c r="C8" s="3207">
        <v>32630</v>
      </c>
      <c r="D8" s="3207">
        <v>32510</v>
      </c>
      <c r="E8" s="3207">
        <v>32420</v>
      </c>
      <c r="F8" s="3207">
        <v>13300</v>
      </c>
      <c r="G8" s="3207">
        <v>24010</v>
      </c>
      <c r="H8" s="3206"/>
      <c r="J8" s="3208" t="s">
        <v>168</v>
      </c>
      <c r="K8" s="3208" t="s">
        <v>169</v>
      </c>
      <c r="L8" s="3207" t="s">
        <v>170</v>
      </c>
      <c r="M8" s="3207" t="s">
        <v>171</v>
      </c>
      <c r="N8" s="3207" t="s">
        <v>172</v>
      </c>
      <c r="O8" s="3207" t="s">
        <v>173</v>
      </c>
      <c r="P8" s="3207" t="s">
        <v>2866</v>
      </c>
      <c r="Q8" s="3207" t="s">
        <v>174</v>
      </c>
      <c r="R8" s="3207" t="s">
        <v>2867</v>
      </c>
      <c r="S8" s="3207" t="s">
        <v>2868</v>
      </c>
      <c r="T8" s="3214" t="s">
        <v>2869</v>
      </c>
    </row>
    <row r="9" spans="1:20" ht="12" thickBot="1">
      <c r="A9" s="3215" t="s">
        <v>144</v>
      </c>
      <c r="B9" s="3213" t="s">
        <v>154</v>
      </c>
      <c r="C9" s="3214">
        <v>36370</v>
      </c>
      <c r="D9" s="3214">
        <v>36210</v>
      </c>
      <c r="E9" s="3214">
        <v>36050</v>
      </c>
      <c r="F9" s="3214"/>
      <c r="G9" s="3214">
        <v>26740</v>
      </c>
      <c r="H9" s="3206"/>
      <c r="J9" s="3208" t="s">
        <v>175</v>
      </c>
      <c r="K9" s="3208" t="s">
        <v>176</v>
      </c>
      <c r="L9" s="3207" t="s">
        <v>177</v>
      </c>
      <c r="M9" s="3207" t="s">
        <v>178</v>
      </c>
      <c r="N9" s="3207" t="s">
        <v>179</v>
      </c>
      <c r="O9" s="3207" t="s">
        <v>180</v>
      </c>
      <c r="P9" s="3207" t="s">
        <v>2870</v>
      </c>
      <c r="Q9" s="3207" t="s">
        <v>182</v>
      </c>
      <c r="R9" s="3207" t="s">
        <v>183</v>
      </c>
      <c r="S9" s="3207" t="s">
        <v>200</v>
      </c>
    </row>
    <row r="10" spans="1:20">
      <c r="A10" s="3212" t="s">
        <v>184</v>
      </c>
      <c r="B10" s="3203" t="s">
        <v>2831</v>
      </c>
      <c r="C10" s="3207">
        <v>32350</v>
      </c>
      <c r="D10" s="3207">
        <v>31430</v>
      </c>
      <c r="E10" s="3207">
        <v>31320</v>
      </c>
      <c r="F10" s="3207">
        <v>10850</v>
      </c>
      <c r="G10" s="3207">
        <v>22860</v>
      </c>
      <c r="H10" s="3206"/>
      <c r="J10" s="3208" t="s">
        <v>185</v>
      </c>
      <c r="K10" s="3208" t="s">
        <v>186</v>
      </c>
      <c r="L10" s="3207" t="s">
        <v>187</v>
      </c>
      <c r="M10" s="3207" t="s">
        <v>188</v>
      </c>
      <c r="N10" s="3207" t="s">
        <v>189</v>
      </c>
      <c r="O10" s="3207" t="s">
        <v>190</v>
      </c>
      <c r="P10" s="3207" t="s">
        <v>181</v>
      </c>
      <c r="Q10" s="3207" t="s">
        <v>192</v>
      </c>
      <c r="R10" s="3207" t="s">
        <v>193</v>
      </c>
      <c r="S10" s="3207" t="s">
        <v>2871</v>
      </c>
    </row>
    <row r="11" spans="1:20">
      <c r="A11" s="3207" t="s">
        <v>184</v>
      </c>
      <c r="B11" s="3208" t="s">
        <v>128</v>
      </c>
      <c r="C11" s="3207">
        <v>31590</v>
      </c>
      <c r="D11" s="3207">
        <v>29490</v>
      </c>
      <c r="E11" s="3207">
        <v>28700</v>
      </c>
      <c r="F11" s="3207">
        <v>10410</v>
      </c>
      <c r="G11" s="3207">
        <v>21460</v>
      </c>
      <c r="H11" s="3206"/>
      <c r="J11" s="3208" t="s">
        <v>194</v>
      </c>
      <c r="K11" s="3208" t="s">
        <v>195</v>
      </c>
      <c r="L11" s="3207" t="s">
        <v>196</v>
      </c>
      <c r="M11" s="3207" t="s">
        <v>197</v>
      </c>
      <c r="N11" s="3207" t="s">
        <v>198</v>
      </c>
      <c r="O11" s="3207" t="s">
        <v>2872</v>
      </c>
      <c r="P11" s="3207" t="s">
        <v>191</v>
      </c>
      <c r="Q11" s="3207" t="s">
        <v>199</v>
      </c>
      <c r="R11" s="3207" t="s">
        <v>2873</v>
      </c>
      <c r="S11" s="3207" t="s">
        <v>2874</v>
      </c>
    </row>
    <row r="12" spans="1:20">
      <c r="A12" s="3207" t="s">
        <v>184</v>
      </c>
      <c r="B12" s="3208" t="s">
        <v>111</v>
      </c>
      <c r="C12" s="3207">
        <v>29640</v>
      </c>
      <c r="D12" s="3207">
        <v>27550</v>
      </c>
      <c r="E12" s="3207">
        <v>28010</v>
      </c>
      <c r="F12" s="3207">
        <v>8730</v>
      </c>
      <c r="G12" s="3207">
        <v>20050</v>
      </c>
      <c r="H12" s="3206"/>
      <c r="J12" s="3208" t="s">
        <v>201</v>
      </c>
      <c r="K12" s="3208" t="s">
        <v>202</v>
      </c>
      <c r="L12" s="3207" t="s">
        <v>203</v>
      </c>
      <c r="M12" s="3207" t="s">
        <v>204</v>
      </c>
      <c r="N12" s="3207" t="s">
        <v>205</v>
      </c>
      <c r="O12" s="3207" t="s">
        <v>2875</v>
      </c>
      <c r="P12" s="3207" t="s">
        <v>2876</v>
      </c>
      <c r="Q12" s="3207" t="s">
        <v>2877</v>
      </c>
      <c r="R12" s="3207" t="s">
        <v>2878</v>
      </c>
      <c r="S12" s="3207" t="s">
        <v>2879</v>
      </c>
    </row>
    <row r="13" spans="1:20">
      <c r="A13" s="3207" t="s">
        <v>184</v>
      </c>
      <c r="B13" s="3208" t="s">
        <v>146</v>
      </c>
      <c r="C13" s="3207">
        <v>29680</v>
      </c>
      <c r="D13" s="3207">
        <v>27660</v>
      </c>
      <c r="E13" s="3207">
        <v>28210</v>
      </c>
      <c r="F13" s="3207">
        <v>9590</v>
      </c>
      <c r="G13" s="3207">
        <v>20120</v>
      </c>
      <c r="H13" s="3206"/>
      <c r="J13" s="3208" t="s">
        <v>208</v>
      </c>
      <c r="K13" s="3208" t="s">
        <v>209</v>
      </c>
      <c r="L13" s="3207" t="s">
        <v>210</v>
      </c>
      <c r="M13" s="3207" t="s">
        <v>211</v>
      </c>
      <c r="N13" s="3207" t="s">
        <v>212</v>
      </c>
      <c r="O13" s="3207" t="s">
        <v>2880</v>
      </c>
      <c r="P13" s="3207" t="s">
        <v>206</v>
      </c>
      <c r="Q13" s="3207" t="s">
        <v>219</v>
      </c>
      <c r="R13" s="3207" t="s">
        <v>220</v>
      </c>
      <c r="S13" s="3207" t="s">
        <v>214</v>
      </c>
    </row>
    <row r="14" spans="1:20">
      <c r="A14" s="3207" t="s">
        <v>184</v>
      </c>
      <c r="B14" s="3208" t="s">
        <v>155</v>
      </c>
      <c r="C14" s="3207">
        <v>30520</v>
      </c>
      <c r="D14" s="3207">
        <v>29510</v>
      </c>
      <c r="E14" s="3207">
        <v>29400</v>
      </c>
      <c r="F14" s="3207">
        <v>9630</v>
      </c>
      <c r="G14" s="3207">
        <v>21480</v>
      </c>
      <c r="H14" s="3206"/>
      <c r="J14" s="3208" t="s">
        <v>2881</v>
      </c>
      <c r="K14" s="3208" t="s">
        <v>215</v>
      </c>
      <c r="L14" s="3207" t="s">
        <v>216</v>
      </c>
      <c r="M14" s="3207" t="s">
        <v>217</v>
      </c>
      <c r="N14" s="3207" t="s">
        <v>218</v>
      </c>
      <c r="O14" s="3207" t="s">
        <v>240</v>
      </c>
      <c r="P14" s="3207" t="s">
        <v>213</v>
      </c>
      <c r="Q14" s="3207" t="s">
        <v>2882</v>
      </c>
      <c r="R14" s="3207" t="s">
        <v>228</v>
      </c>
      <c r="S14" s="3207" t="s">
        <v>221</v>
      </c>
    </row>
    <row r="15" spans="1:20">
      <c r="A15" s="3207" t="s">
        <v>184</v>
      </c>
      <c r="B15" s="3208" t="s">
        <v>162</v>
      </c>
      <c r="C15" s="3207">
        <v>29090</v>
      </c>
      <c r="D15" s="3207">
        <v>27590</v>
      </c>
      <c r="E15" s="3207">
        <v>28120</v>
      </c>
      <c r="F15" s="3207">
        <v>9110</v>
      </c>
      <c r="G15" s="3207">
        <v>20070</v>
      </c>
      <c r="H15" s="3206"/>
      <c r="J15" s="3208" t="s">
        <v>222</v>
      </c>
      <c r="K15" s="3208" t="s">
        <v>223</v>
      </c>
      <c r="L15" s="3207" t="s">
        <v>224</v>
      </c>
      <c r="M15" s="3207" t="s">
        <v>225</v>
      </c>
      <c r="N15" s="3207" t="s">
        <v>226</v>
      </c>
      <c r="O15" s="3207" t="s">
        <v>2883</v>
      </c>
      <c r="P15" s="3207" t="s">
        <v>2884</v>
      </c>
      <c r="Q15" s="3207" t="s">
        <v>242</v>
      </c>
      <c r="R15" s="3207" t="s">
        <v>2885</v>
      </c>
      <c r="S15" s="3207" t="s">
        <v>229</v>
      </c>
    </row>
    <row r="16" spans="1:20">
      <c r="A16" s="3207" t="s">
        <v>184</v>
      </c>
      <c r="B16" s="3208" t="s">
        <v>168</v>
      </c>
      <c r="C16" s="3207">
        <v>26790</v>
      </c>
      <c r="D16" s="3207">
        <v>30370</v>
      </c>
      <c r="E16" s="3207">
        <v>30240</v>
      </c>
      <c r="F16" s="3207">
        <v>11590</v>
      </c>
      <c r="G16" s="3207">
        <v>22090</v>
      </c>
      <c r="H16" s="3206"/>
      <c r="J16" s="3208" t="s">
        <v>230</v>
      </c>
      <c r="K16" s="3208" t="s">
        <v>231</v>
      </c>
      <c r="L16" s="3207" t="s">
        <v>232</v>
      </c>
      <c r="M16" s="3207" t="s">
        <v>233</v>
      </c>
      <c r="N16" s="3207" t="s">
        <v>234</v>
      </c>
      <c r="O16" s="3207" t="s">
        <v>2886</v>
      </c>
      <c r="P16" s="3207" t="s">
        <v>227</v>
      </c>
      <c r="Q16" s="3207" t="s">
        <v>250</v>
      </c>
      <c r="R16" s="3207" t="s">
        <v>207</v>
      </c>
      <c r="S16" s="3207" t="s">
        <v>2887</v>
      </c>
    </row>
    <row r="17" spans="1:19" ht="14.25" customHeight="1">
      <c r="A17" s="3207" t="s">
        <v>184</v>
      </c>
      <c r="B17" s="3208" t="s">
        <v>175</v>
      </c>
      <c r="C17" s="3207">
        <v>29180</v>
      </c>
      <c r="D17" s="3207">
        <v>27620</v>
      </c>
      <c r="E17" s="3207">
        <v>28180</v>
      </c>
      <c r="F17" s="3207">
        <v>10790</v>
      </c>
      <c r="G17" s="3207">
        <v>20090</v>
      </c>
      <c r="H17" s="3206"/>
      <c r="J17" s="3208" t="s">
        <v>235</v>
      </c>
      <c r="K17" s="3208" t="s">
        <v>236</v>
      </c>
      <c r="L17" s="3207" t="s">
        <v>237</v>
      </c>
      <c r="M17" s="3207" t="s">
        <v>238</v>
      </c>
      <c r="N17" s="3207" t="s">
        <v>239</v>
      </c>
      <c r="O17" s="3207" t="s">
        <v>2888</v>
      </c>
      <c r="P17" s="3207" t="s">
        <v>2889</v>
      </c>
      <c r="Q17" s="3207" t="s">
        <v>256</v>
      </c>
      <c r="R17" s="3207" t="s">
        <v>2890</v>
      </c>
      <c r="S17" s="3207" t="s">
        <v>258</v>
      </c>
    </row>
    <row r="18" spans="1:19" ht="14.25" customHeight="1">
      <c r="A18" s="3207" t="s">
        <v>184</v>
      </c>
      <c r="B18" s="3208" t="s">
        <v>185</v>
      </c>
      <c r="C18" s="3207">
        <v>26840</v>
      </c>
      <c r="D18" s="3207">
        <v>28930</v>
      </c>
      <c r="E18" s="3207">
        <v>28820</v>
      </c>
      <c r="F18" s="3207"/>
      <c r="G18" s="3207">
        <v>21050</v>
      </c>
      <c r="H18" s="3206"/>
      <c r="J18" s="3208" t="s">
        <v>244</v>
      </c>
      <c r="K18" s="3208" t="s">
        <v>245</v>
      </c>
      <c r="L18" s="3207" t="s">
        <v>246</v>
      </c>
      <c r="M18" s="3207" t="s">
        <v>247</v>
      </c>
      <c r="N18" s="3207" t="s">
        <v>248</v>
      </c>
      <c r="O18" s="3207" t="s">
        <v>2891</v>
      </c>
      <c r="P18" s="3207" t="s">
        <v>241</v>
      </c>
      <c r="Q18" s="3207" t="s">
        <v>2892</v>
      </c>
      <c r="R18" s="3207" t="s">
        <v>257</v>
      </c>
      <c r="S18" s="3207" t="s">
        <v>266</v>
      </c>
    </row>
    <row r="19" spans="1:19" ht="14.25" customHeight="1">
      <c r="A19" s="3207" t="s">
        <v>184</v>
      </c>
      <c r="B19" s="3208" t="s">
        <v>194</v>
      </c>
      <c r="C19" s="3207">
        <v>27750</v>
      </c>
      <c r="D19" s="3207">
        <v>26680</v>
      </c>
      <c r="E19" s="3207">
        <v>26590</v>
      </c>
      <c r="F19" s="3207"/>
      <c r="G19" s="3207">
        <v>19420</v>
      </c>
      <c r="H19" s="3206"/>
      <c r="J19" s="3208" t="s">
        <v>251</v>
      </c>
      <c r="K19" s="3208" t="s">
        <v>252</v>
      </c>
      <c r="L19" s="3207" t="s">
        <v>253</v>
      </c>
      <c r="M19" s="3207" t="s">
        <v>254</v>
      </c>
      <c r="N19" s="3207" t="s">
        <v>255</v>
      </c>
      <c r="O19" s="3207" t="s">
        <v>2893</v>
      </c>
      <c r="P19" s="3207" t="s">
        <v>249</v>
      </c>
      <c r="Q19" s="3207" t="s">
        <v>2894</v>
      </c>
      <c r="R19" s="3207" t="s">
        <v>265</v>
      </c>
      <c r="S19" s="3207" t="s">
        <v>2895</v>
      </c>
    </row>
    <row r="20" spans="1:19" ht="14.25" customHeight="1">
      <c r="A20" s="3207" t="s">
        <v>184</v>
      </c>
      <c r="B20" s="3208" t="s">
        <v>201</v>
      </c>
      <c r="C20" s="3207">
        <v>27050</v>
      </c>
      <c r="D20" s="3207">
        <v>29010</v>
      </c>
      <c r="E20" s="3207">
        <v>28910</v>
      </c>
      <c r="F20" s="3207"/>
      <c r="G20" s="3207">
        <v>21110</v>
      </c>
      <c r="J20" s="3208" t="s">
        <v>259</v>
      </c>
      <c r="K20" s="3208" t="s">
        <v>260</v>
      </c>
      <c r="L20" s="3207" t="s">
        <v>261</v>
      </c>
      <c r="M20" s="3207" t="s">
        <v>262</v>
      </c>
      <c r="N20" s="3207" t="s">
        <v>263</v>
      </c>
      <c r="O20" s="3207" t="s">
        <v>2896</v>
      </c>
      <c r="P20" s="3207" t="s">
        <v>2897</v>
      </c>
      <c r="Q20" s="3207" t="s">
        <v>290</v>
      </c>
      <c r="R20" s="3207" t="s">
        <v>2898</v>
      </c>
      <c r="S20" s="3207" t="s">
        <v>277</v>
      </c>
    </row>
    <row r="21" spans="1:19" ht="14.25" customHeight="1" thickBot="1">
      <c r="A21" s="3207" t="s">
        <v>184</v>
      </c>
      <c r="B21" s="3208" t="s">
        <v>208</v>
      </c>
      <c r="C21" s="3207">
        <v>32370</v>
      </c>
      <c r="D21" s="3207">
        <v>26730</v>
      </c>
      <c r="E21" s="3207">
        <v>26640</v>
      </c>
      <c r="F21" s="3207"/>
      <c r="G21" s="3207">
        <v>19440</v>
      </c>
      <c r="J21" s="3214" t="s">
        <v>2899</v>
      </c>
      <c r="K21" s="3208" t="s">
        <v>267</v>
      </c>
      <c r="L21" s="3207" t="s">
        <v>268</v>
      </c>
      <c r="M21" s="3207" t="s">
        <v>269</v>
      </c>
      <c r="N21" s="3207" t="s">
        <v>270</v>
      </c>
      <c r="O21" s="3207" t="s">
        <v>264</v>
      </c>
      <c r="P21" s="3207" t="s">
        <v>283</v>
      </c>
      <c r="Q21" s="3207" t="s">
        <v>293</v>
      </c>
      <c r="R21" s="3207" t="s">
        <v>2900</v>
      </c>
      <c r="S21" s="3214" t="s">
        <v>2901</v>
      </c>
    </row>
    <row r="22" spans="1:19" ht="14.25" customHeight="1">
      <c r="A22" s="3207" t="s">
        <v>184</v>
      </c>
      <c r="B22" s="3208" t="s">
        <v>2881</v>
      </c>
      <c r="C22" s="3207">
        <v>29830</v>
      </c>
      <c r="D22" s="3207">
        <v>27600</v>
      </c>
      <c r="E22" s="3207">
        <v>28150</v>
      </c>
      <c r="F22" s="3207"/>
      <c r="G22" s="3207">
        <v>20080</v>
      </c>
      <c r="K22" s="3208" t="s">
        <v>2902</v>
      </c>
      <c r="L22" s="3207" t="s">
        <v>272</v>
      </c>
      <c r="M22" s="3207" t="s">
        <v>273</v>
      </c>
      <c r="N22" s="3207" t="s">
        <v>274</v>
      </c>
      <c r="O22" s="3207" t="s">
        <v>2903</v>
      </c>
      <c r="P22" s="3207" t="s">
        <v>286</v>
      </c>
      <c r="Q22" s="3207" t="s">
        <v>295</v>
      </c>
      <c r="R22" s="3207" t="s">
        <v>243</v>
      </c>
    </row>
    <row r="23" spans="1:19" ht="14.25" customHeight="1">
      <c r="A23" s="3207" t="s">
        <v>184</v>
      </c>
      <c r="B23" s="3208" t="s">
        <v>222</v>
      </c>
      <c r="C23" s="3207">
        <v>27800</v>
      </c>
      <c r="D23" s="3207">
        <v>26900</v>
      </c>
      <c r="E23" s="3207">
        <v>27170</v>
      </c>
      <c r="F23" s="3207"/>
      <c r="G23" s="3207">
        <v>19570</v>
      </c>
      <c r="K23" s="3208" t="s">
        <v>2904</v>
      </c>
      <c r="L23" s="3207" t="s">
        <v>278</v>
      </c>
      <c r="M23" s="3207" t="s">
        <v>279</v>
      </c>
      <c r="N23" s="3207" t="s">
        <v>2905</v>
      </c>
      <c r="O23" s="3207" t="s">
        <v>2906</v>
      </c>
      <c r="P23" s="3207" t="s">
        <v>289</v>
      </c>
      <c r="Q23" s="3207" t="s">
        <v>298</v>
      </c>
      <c r="R23" s="3207" t="s">
        <v>2907</v>
      </c>
    </row>
    <row r="24" spans="1:19" ht="14.25" customHeight="1">
      <c r="A24" s="3207" t="s">
        <v>184</v>
      </c>
      <c r="B24" s="3208" t="s">
        <v>230</v>
      </c>
      <c r="C24" s="3207">
        <v>27930</v>
      </c>
      <c r="D24" s="3207">
        <v>32260</v>
      </c>
      <c r="E24" s="3207">
        <v>32120</v>
      </c>
      <c r="F24" s="3207"/>
      <c r="G24" s="3207">
        <v>23470</v>
      </c>
      <c r="K24" s="3208" t="s">
        <v>2908</v>
      </c>
      <c r="L24" s="3207" t="s">
        <v>281</v>
      </c>
      <c r="M24" s="3207" t="s">
        <v>282</v>
      </c>
      <c r="N24" s="3207" t="s">
        <v>2909</v>
      </c>
      <c r="O24" s="3207" t="s">
        <v>285</v>
      </c>
      <c r="P24" s="3207" t="s">
        <v>2910</v>
      </c>
      <c r="Q24" s="3216" t="s">
        <v>2911</v>
      </c>
      <c r="R24" s="3207" t="s">
        <v>2912</v>
      </c>
    </row>
    <row r="25" spans="1:19" ht="14.25" customHeight="1">
      <c r="A25" s="3207" t="s">
        <v>184</v>
      </c>
      <c r="B25" s="3208" t="s">
        <v>235</v>
      </c>
      <c r="C25" s="3207">
        <v>32230</v>
      </c>
      <c r="D25" s="3207">
        <v>29640</v>
      </c>
      <c r="E25" s="3207">
        <v>29510</v>
      </c>
      <c r="F25" s="3207"/>
      <c r="G25" s="3207">
        <v>21560</v>
      </c>
      <c r="K25" s="3208" t="s">
        <v>2913</v>
      </c>
      <c r="L25" s="3207" t="s">
        <v>2914</v>
      </c>
      <c r="M25" s="3207" t="s">
        <v>284</v>
      </c>
      <c r="N25" s="3207" t="s">
        <v>292</v>
      </c>
      <c r="O25" s="3207" t="s">
        <v>288</v>
      </c>
      <c r="P25" s="3207" t="s">
        <v>275</v>
      </c>
      <c r="Q25" s="3216" t="s">
        <v>271</v>
      </c>
      <c r="R25" s="3207" t="s">
        <v>2915</v>
      </c>
    </row>
    <row r="26" spans="1:19" ht="14.25" customHeight="1" thickBot="1">
      <c r="A26" s="3207" t="s">
        <v>184</v>
      </c>
      <c r="B26" s="3208" t="s">
        <v>244</v>
      </c>
      <c r="C26" s="3207">
        <v>31690</v>
      </c>
      <c r="D26" s="3207">
        <v>27650</v>
      </c>
      <c r="E26" s="3207">
        <v>28200</v>
      </c>
      <c r="F26" s="3207"/>
      <c r="G26" s="3207">
        <v>20110</v>
      </c>
      <c r="K26" s="3213" t="s">
        <v>2916</v>
      </c>
      <c r="L26" s="3207" t="s">
        <v>2917</v>
      </c>
      <c r="M26" s="3207" t="s">
        <v>287</v>
      </c>
      <c r="N26" s="3207" t="s">
        <v>294</v>
      </c>
      <c r="O26" s="3207" t="s">
        <v>2918</v>
      </c>
      <c r="P26" s="3207" t="s">
        <v>2919</v>
      </c>
      <c r="Q26" s="3216" t="s">
        <v>276</v>
      </c>
      <c r="R26" s="3207" t="s">
        <v>2920</v>
      </c>
    </row>
    <row r="27" spans="1:19" ht="14.25" customHeight="1">
      <c r="A27" s="3207" t="s">
        <v>184</v>
      </c>
      <c r="B27" s="3208" t="s">
        <v>251</v>
      </c>
      <c r="C27" s="3207">
        <v>29610</v>
      </c>
      <c r="D27" s="3207">
        <v>27770</v>
      </c>
      <c r="E27" s="3207">
        <v>28300</v>
      </c>
      <c r="F27" s="3207"/>
      <c r="G27" s="3207">
        <v>20210</v>
      </c>
      <c r="L27" s="3207" t="s">
        <v>2921</v>
      </c>
      <c r="M27" s="3207" t="s">
        <v>291</v>
      </c>
      <c r="N27" s="3207" t="s">
        <v>297</v>
      </c>
      <c r="O27" s="3207" t="s">
        <v>2922</v>
      </c>
      <c r="P27" s="3207" t="s">
        <v>2923</v>
      </c>
      <c r="Q27" s="3207" t="s">
        <v>2924</v>
      </c>
      <c r="R27" s="3207" t="s">
        <v>2925</v>
      </c>
    </row>
    <row r="28" spans="1:19" ht="14.25" customHeight="1">
      <c r="A28" s="3207" t="s">
        <v>184</v>
      </c>
      <c r="B28" s="3208" t="s">
        <v>259</v>
      </c>
      <c r="C28" s="3207"/>
      <c r="D28" s="3207">
        <v>31520</v>
      </c>
      <c r="E28" s="3207">
        <v>31410</v>
      </c>
      <c r="F28" s="3207"/>
      <c r="G28" s="3207">
        <v>22940</v>
      </c>
      <c r="L28" s="3207" t="s">
        <v>2926</v>
      </c>
      <c r="M28" s="3207" t="s">
        <v>2927</v>
      </c>
      <c r="N28" s="3207" t="s">
        <v>2928</v>
      </c>
      <c r="O28" s="3207" t="s">
        <v>2929</v>
      </c>
      <c r="P28" s="3207" t="s">
        <v>2930</v>
      </c>
      <c r="Q28" s="3207" t="s">
        <v>2931</v>
      </c>
      <c r="R28" s="3207" t="s">
        <v>2932</v>
      </c>
    </row>
    <row r="29" spans="1:19" ht="14.25" customHeight="1" thickBot="1">
      <c r="A29" s="3215" t="s">
        <v>184</v>
      </c>
      <c r="B29" s="3217" t="s">
        <v>2899</v>
      </c>
      <c r="C29" s="3218"/>
      <c r="D29" s="3218">
        <v>29460</v>
      </c>
      <c r="E29" s="3218">
        <v>28640</v>
      </c>
      <c r="F29" s="3218"/>
      <c r="G29" s="3218">
        <v>21430</v>
      </c>
      <c r="L29" s="3207" t="s">
        <v>2933</v>
      </c>
      <c r="M29" s="3207" t="s">
        <v>2934</v>
      </c>
      <c r="N29" s="3207" t="s">
        <v>2935</v>
      </c>
      <c r="O29" s="3207" t="s">
        <v>2936</v>
      </c>
      <c r="P29" s="3207" t="s">
        <v>2937</v>
      </c>
      <c r="Q29" s="3207" t="s">
        <v>2938</v>
      </c>
      <c r="R29" s="3207" t="s">
        <v>280</v>
      </c>
    </row>
    <row r="30" spans="1:19" ht="14.25" customHeight="1">
      <c r="A30" s="3212" t="s">
        <v>296</v>
      </c>
      <c r="B30" s="3203" t="s">
        <v>2832</v>
      </c>
      <c r="C30" s="3203">
        <v>26890</v>
      </c>
      <c r="D30" s="3203">
        <v>26770</v>
      </c>
      <c r="E30" s="3203">
        <v>25700</v>
      </c>
      <c r="F30" s="3203">
        <v>8180</v>
      </c>
      <c r="G30" s="3219">
        <v>18740</v>
      </c>
      <c r="L30" s="3207" t="s">
        <v>2939</v>
      </c>
      <c r="M30" s="3207" t="s">
        <v>2940</v>
      </c>
      <c r="N30" s="3207" t="s">
        <v>2941</v>
      </c>
      <c r="O30" s="3207" t="s">
        <v>2942</v>
      </c>
      <c r="P30" s="3207" t="s">
        <v>2943</v>
      </c>
      <c r="Q30" s="3207" t="s">
        <v>2944</v>
      </c>
      <c r="R30" s="3207" t="s">
        <v>2945</v>
      </c>
    </row>
    <row r="31" spans="1:19" ht="14.25" customHeight="1">
      <c r="A31" s="3207" t="s">
        <v>296</v>
      </c>
      <c r="B31" s="3208" t="s">
        <v>129</v>
      </c>
      <c r="C31" s="3207">
        <v>24550</v>
      </c>
      <c r="D31" s="3207">
        <v>23990</v>
      </c>
      <c r="E31" s="3207">
        <v>22930</v>
      </c>
      <c r="F31" s="3207">
        <v>7470</v>
      </c>
      <c r="G31" s="3220">
        <v>16790</v>
      </c>
      <c r="L31" s="3207" t="s">
        <v>2946</v>
      </c>
      <c r="M31" s="3207" t="s">
        <v>2947</v>
      </c>
      <c r="N31" s="3207" t="s">
        <v>2948</v>
      </c>
      <c r="O31" s="3207" t="s">
        <v>2949</v>
      </c>
      <c r="P31" s="3207" t="s">
        <v>2950</v>
      </c>
      <c r="Q31" s="3207" t="s">
        <v>2951</v>
      </c>
      <c r="R31" s="3207" t="s">
        <v>2952</v>
      </c>
    </row>
    <row r="32" spans="1:19" ht="14.25" customHeight="1" thickBot="1">
      <c r="A32" s="3207" t="s">
        <v>296</v>
      </c>
      <c r="B32" s="3208" t="s">
        <v>138</v>
      </c>
      <c r="C32" s="3207">
        <v>27210</v>
      </c>
      <c r="D32" s="3207">
        <v>23240</v>
      </c>
      <c r="E32" s="3207">
        <v>23260</v>
      </c>
      <c r="F32" s="3207">
        <v>7130</v>
      </c>
      <c r="G32" s="3220">
        <v>16270</v>
      </c>
      <c r="L32" s="3207" t="s">
        <v>2953</v>
      </c>
      <c r="M32" s="3207" t="s">
        <v>2954</v>
      </c>
      <c r="N32" s="3207" t="s">
        <v>300</v>
      </c>
      <c r="O32" s="3207" t="s">
        <v>2955</v>
      </c>
      <c r="P32" s="3207" t="s">
        <v>299</v>
      </c>
      <c r="Q32" s="3207" t="s">
        <v>2956</v>
      </c>
      <c r="R32" s="3214" t="s">
        <v>2957</v>
      </c>
    </row>
    <row r="33" spans="1:17" ht="14.25" customHeight="1" thickBot="1">
      <c r="A33" s="3207" t="s">
        <v>296</v>
      </c>
      <c r="B33" s="3208" t="s">
        <v>147</v>
      </c>
      <c r="C33" s="3207">
        <v>27300</v>
      </c>
      <c r="D33" s="3207">
        <v>22980</v>
      </c>
      <c r="E33" s="3207">
        <v>24260</v>
      </c>
      <c r="F33" s="3207">
        <v>5860</v>
      </c>
      <c r="G33" s="3220">
        <v>16090</v>
      </c>
      <c r="L33" s="3214" t="s">
        <v>2958</v>
      </c>
      <c r="M33" s="3207" t="s">
        <v>2959</v>
      </c>
      <c r="N33" s="3207" t="s">
        <v>301</v>
      </c>
      <c r="O33" s="3207" t="s">
        <v>2960</v>
      </c>
      <c r="P33" s="3207" t="s">
        <v>2961</v>
      </c>
      <c r="Q33" s="3207" t="s">
        <v>2962</v>
      </c>
    </row>
    <row r="34" spans="1:17" ht="14.25" customHeight="1">
      <c r="A34" s="3207" t="s">
        <v>296</v>
      </c>
      <c r="B34" s="3208" t="s">
        <v>156</v>
      </c>
      <c r="C34" s="3207">
        <v>23090</v>
      </c>
      <c r="D34" s="3207">
        <v>23390</v>
      </c>
      <c r="E34" s="3207">
        <v>23510</v>
      </c>
      <c r="F34" s="3207">
        <v>6700</v>
      </c>
      <c r="G34" s="3220">
        <v>16370</v>
      </c>
      <c r="M34" s="3207" t="s">
        <v>2963</v>
      </c>
      <c r="N34" s="3207" t="s">
        <v>302</v>
      </c>
      <c r="O34" s="3207" t="s">
        <v>2964</v>
      </c>
      <c r="P34" s="3207" t="s">
        <v>2965</v>
      </c>
      <c r="Q34" s="3207" t="s">
        <v>2966</v>
      </c>
    </row>
    <row r="35" spans="1:17" ht="14.25" customHeight="1">
      <c r="A35" s="3207" t="s">
        <v>296</v>
      </c>
      <c r="B35" s="3208" t="s">
        <v>163</v>
      </c>
      <c r="C35" s="3207">
        <v>27270</v>
      </c>
      <c r="D35" s="3207">
        <v>24270</v>
      </c>
      <c r="E35" s="3207">
        <v>24950</v>
      </c>
      <c r="F35" s="3207">
        <v>6600</v>
      </c>
      <c r="G35" s="3220">
        <v>16990</v>
      </c>
      <c r="M35" s="3207" t="s">
        <v>2967</v>
      </c>
      <c r="N35" s="3207" t="s">
        <v>2968</v>
      </c>
      <c r="O35" s="3207" t="s">
        <v>2969</v>
      </c>
      <c r="P35" s="3207" t="s">
        <v>2970</v>
      </c>
      <c r="Q35" s="3207" t="s">
        <v>2971</v>
      </c>
    </row>
    <row r="36" spans="1:17" ht="14.25" customHeight="1">
      <c r="A36" s="3207" t="s">
        <v>296</v>
      </c>
      <c r="B36" s="3208" t="s">
        <v>169</v>
      </c>
      <c r="C36" s="3207">
        <v>23490</v>
      </c>
      <c r="D36" s="3207">
        <v>23020</v>
      </c>
      <c r="E36" s="3207">
        <v>25230</v>
      </c>
      <c r="F36" s="3207">
        <v>6780</v>
      </c>
      <c r="G36" s="3220">
        <v>16120</v>
      </c>
      <c r="M36" s="3207" t="s">
        <v>2972</v>
      </c>
      <c r="N36" s="3207" t="s">
        <v>2973</v>
      </c>
      <c r="O36" s="3207" t="s">
        <v>2974</v>
      </c>
      <c r="P36" s="3207" t="s">
        <v>2975</v>
      </c>
      <c r="Q36" s="3207" t="s">
        <v>2976</v>
      </c>
    </row>
    <row r="37" spans="1:17" ht="14.25" customHeight="1">
      <c r="A37" s="3207" t="s">
        <v>296</v>
      </c>
      <c r="B37" s="3208" t="s">
        <v>176</v>
      </c>
      <c r="C37" s="3207">
        <v>24380</v>
      </c>
      <c r="D37" s="3207">
        <v>22240</v>
      </c>
      <c r="E37" s="3207">
        <v>25980</v>
      </c>
      <c r="F37" s="3207">
        <v>8160</v>
      </c>
      <c r="G37" s="3220">
        <v>15570</v>
      </c>
      <c r="M37" s="3207" t="s">
        <v>2977</v>
      </c>
      <c r="N37" s="3207" t="s">
        <v>2978</v>
      </c>
      <c r="O37" s="3207" t="s">
        <v>2979</v>
      </c>
      <c r="P37" s="3207" t="s">
        <v>2980</v>
      </c>
      <c r="Q37" s="3207" t="s">
        <v>2981</v>
      </c>
    </row>
    <row r="38" spans="1:17" ht="14.25" customHeight="1">
      <c r="A38" s="3207" t="s">
        <v>296</v>
      </c>
      <c r="B38" s="3208" t="s">
        <v>186</v>
      </c>
      <c r="C38" s="3207">
        <v>23120</v>
      </c>
      <c r="D38" s="3207">
        <v>24630</v>
      </c>
      <c r="E38" s="3207">
        <v>25030</v>
      </c>
      <c r="F38" s="3207">
        <v>7710</v>
      </c>
      <c r="G38" s="3220">
        <v>17240</v>
      </c>
      <c r="M38" s="3207" t="s">
        <v>2982</v>
      </c>
      <c r="N38" s="3207" t="s">
        <v>2983</v>
      </c>
      <c r="O38" s="3207" t="s">
        <v>2984</v>
      </c>
      <c r="P38" s="3207" t="s">
        <v>2985</v>
      </c>
      <c r="Q38" s="3207" t="s">
        <v>2986</v>
      </c>
    </row>
    <row r="39" spans="1:17" ht="14.25" customHeight="1">
      <c r="A39" s="3207" t="s">
        <v>296</v>
      </c>
      <c r="B39" s="3208" t="s">
        <v>195</v>
      </c>
      <c r="C39" s="3207">
        <v>22330</v>
      </c>
      <c r="D39" s="3207">
        <v>21140</v>
      </c>
      <c r="E39" s="3207">
        <v>23970</v>
      </c>
      <c r="F39" s="3207">
        <v>7940</v>
      </c>
      <c r="G39" s="3220">
        <v>14790</v>
      </c>
      <c r="M39" s="3207" t="s">
        <v>2987</v>
      </c>
      <c r="N39" s="3207" t="s">
        <v>2988</v>
      </c>
      <c r="O39" s="3207" t="s">
        <v>2989</v>
      </c>
      <c r="P39" s="3207" t="s">
        <v>2990</v>
      </c>
      <c r="Q39" s="3207" t="s">
        <v>2991</v>
      </c>
    </row>
    <row r="40" spans="1:17" ht="14.25" customHeight="1">
      <c r="A40" s="3207" t="s">
        <v>296</v>
      </c>
      <c r="B40" s="3208" t="s">
        <v>202</v>
      </c>
      <c r="C40" s="3207">
        <v>24740</v>
      </c>
      <c r="D40" s="3207">
        <v>24690</v>
      </c>
      <c r="E40" s="3207">
        <v>22610</v>
      </c>
      <c r="F40" s="3207"/>
      <c r="G40" s="3220">
        <v>17280</v>
      </c>
      <c r="M40" s="3207" t="s">
        <v>2992</v>
      </c>
      <c r="N40" s="3207" t="s">
        <v>2993</v>
      </c>
      <c r="O40" s="3207" t="s">
        <v>2994</v>
      </c>
      <c r="P40" s="3207" t="s">
        <v>2995</v>
      </c>
      <c r="Q40" s="3207" t="s">
        <v>2996</v>
      </c>
    </row>
    <row r="41" spans="1:17" ht="14.25" customHeight="1" thickBot="1">
      <c r="A41" s="3207" t="s">
        <v>296</v>
      </c>
      <c r="B41" s="3208" t="s">
        <v>209</v>
      </c>
      <c r="C41" s="3207">
        <v>21220</v>
      </c>
      <c r="D41" s="3207">
        <v>21120</v>
      </c>
      <c r="E41" s="3207">
        <v>22590</v>
      </c>
      <c r="F41" s="3207"/>
      <c r="G41" s="3220">
        <v>14780</v>
      </c>
      <c r="M41" s="3214" t="s">
        <v>2997</v>
      </c>
      <c r="N41" s="3207" t="s">
        <v>2998</v>
      </c>
      <c r="O41" s="3207" t="s">
        <v>2999</v>
      </c>
      <c r="P41" s="3207" t="s">
        <v>3000</v>
      </c>
      <c r="Q41" s="3207" t="s">
        <v>3001</v>
      </c>
    </row>
    <row r="42" spans="1:17" ht="14.25" customHeight="1">
      <c r="A42" s="3207" t="s">
        <v>296</v>
      </c>
      <c r="B42" s="3208" t="s">
        <v>215</v>
      </c>
      <c r="C42" s="3207">
        <v>24800</v>
      </c>
      <c r="D42" s="3207">
        <v>22280</v>
      </c>
      <c r="E42" s="3207">
        <v>24350</v>
      </c>
      <c r="F42" s="3207"/>
      <c r="G42" s="3220">
        <v>15590</v>
      </c>
      <c r="N42" s="3207" t="s">
        <v>3002</v>
      </c>
      <c r="O42" s="3207" t="s">
        <v>3003</v>
      </c>
      <c r="P42" s="3207" t="s">
        <v>3004</v>
      </c>
      <c r="Q42" s="3207" t="s">
        <v>3005</v>
      </c>
    </row>
    <row r="43" spans="1:17" ht="14.25" customHeight="1">
      <c r="A43" s="3207" t="s">
        <v>3006</v>
      </c>
      <c r="B43" s="3208" t="s">
        <v>223</v>
      </c>
      <c r="C43" s="3207">
        <v>21210</v>
      </c>
      <c r="D43" s="3207">
        <v>21160</v>
      </c>
      <c r="E43" s="3207">
        <v>22650</v>
      </c>
      <c r="F43" s="3207"/>
      <c r="G43" s="3220">
        <v>14800</v>
      </c>
      <c r="N43" s="3207" t="s">
        <v>3007</v>
      </c>
      <c r="O43" s="3207" t="s">
        <v>3008</v>
      </c>
      <c r="P43" s="3207" t="s">
        <v>3009</v>
      </c>
      <c r="Q43" s="3207" t="s">
        <v>3010</v>
      </c>
    </row>
    <row r="44" spans="1:17" ht="14.25" customHeight="1" thickBot="1">
      <c r="A44" s="3207" t="s">
        <v>296</v>
      </c>
      <c r="B44" s="3208" t="s">
        <v>231</v>
      </c>
      <c r="C44" s="3207">
        <v>22370</v>
      </c>
      <c r="D44" s="3207">
        <v>23140</v>
      </c>
      <c r="E44" s="3207">
        <v>25090</v>
      </c>
      <c r="F44" s="3207"/>
      <c r="G44" s="3220">
        <v>16190</v>
      </c>
      <c r="N44" s="3207" t="s">
        <v>3011</v>
      </c>
      <c r="O44" s="3207" t="s">
        <v>3012</v>
      </c>
      <c r="P44" s="3214" t="s">
        <v>3013</v>
      </c>
      <c r="Q44" s="3207" t="s">
        <v>3014</v>
      </c>
    </row>
    <row r="45" spans="1:17" ht="14.25" customHeight="1" thickBot="1">
      <c r="A45" s="3207" t="s">
        <v>296</v>
      </c>
      <c r="B45" s="3208" t="s">
        <v>236</v>
      </c>
      <c r="C45" s="3207">
        <v>21240</v>
      </c>
      <c r="D45" s="3207">
        <v>27050</v>
      </c>
      <c r="E45" s="3207">
        <v>28000</v>
      </c>
      <c r="F45" s="3207"/>
      <c r="G45" s="3220">
        <v>18940</v>
      </c>
      <c r="N45" s="3207" t="s">
        <v>3015</v>
      </c>
      <c r="O45" s="3214" t="s">
        <v>3016</v>
      </c>
      <c r="Q45" s="3207" t="s">
        <v>3017</v>
      </c>
    </row>
    <row r="46" spans="1:17" ht="14.25" customHeight="1">
      <c r="A46" s="3207" t="s">
        <v>296</v>
      </c>
      <c r="B46" s="3208" t="s">
        <v>245</v>
      </c>
      <c r="C46" s="3207">
        <v>23240</v>
      </c>
      <c r="D46" s="3207">
        <v>23000</v>
      </c>
      <c r="E46" s="3207">
        <v>24980</v>
      </c>
      <c r="F46" s="3207"/>
      <c r="G46" s="3220">
        <v>16100</v>
      </c>
      <c r="N46" s="3207" t="s">
        <v>3018</v>
      </c>
      <c r="Q46" s="3207" t="s">
        <v>3019</v>
      </c>
    </row>
    <row r="47" spans="1:17" ht="14.25" customHeight="1">
      <c r="A47" s="3207" t="s">
        <v>296</v>
      </c>
      <c r="B47" s="3208" t="s">
        <v>252</v>
      </c>
      <c r="C47" s="3207">
        <v>27150</v>
      </c>
      <c r="D47" s="3207">
        <v>23310</v>
      </c>
      <c r="E47" s="3207">
        <v>25150</v>
      </c>
      <c r="F47" s="3207"/>
      <c r="G47" s="3220">
        <v>16310</v>
      </c>
      <c r="N47" s="3207" t="s">
        <v>3020</v>
      </c>
      <c r="Q47" s="3207" t="s">
        <v>3021</v>
      </c>
    </row>
    <row r="48" spans="1:17" ht="14.25" customHeight="1">
      <c r="A48" s="3207" t="s">
        <v>296</v>
      </c>
      <c r="B48" s="3208" t="s">
        <v>260</v>
      </c>
      <c r="C48" s="3207">
        <v>23100</v>
      </c>
      <c r="D48" s="3207">
        <v>21110</v>
      </c>
      <c r="E48" s="3207">
        <v>23080</v>
      </c>
      <c r="F48" s="3207"/>
      <c r="G48" s="3220">
        <v>14780</v>
      </c>
      <c r="N48" s="3207" t="s">
        <v>3022</v>
      </c>
      <c r="Q48" s="3207" t="s">
        <v>3023</v>
      </c>
    </row>
    <row r="49" spans="1:17" ht="14.25" customHeight="1">
      <c r="A49" s="3207" t="s">
        <v>296</v>
      </c>
      <c r="B49" s="3208" t="s">
        <v>267</v>
      </c>
      <c r="C49" s="3207">
        <v>23400</v>
      </c>
      <c r="D49" s="3207">
        <v>22920</v>
      </c>
      <c r="E49" s="3207">
        <v>24900</v>
      </c>
      <c r="F49" s="3207"/>
      <c r="G49" s="3220">
        <v>16040</v>
      </c>
      <c r="N49" s="3207" t="s">
        <v>3024</v>
      </c>
      <c r="Q49" s="3207" t="s">
        <v>3025</v>
      </c>
    </row>
    <row r="50" spans="1:17" ht="14.25" customHeight="1">
      <c r="A50" s="3207" t="s">
        <v>296</v>
      </c>
      <c r="B50" s="3208" t="s">
        <v>2902</v>
      </c>
      <c r="C50" s="3207">
        <v>21200</v>
      </c>
      <c r="D50" s="3207">
        <v>26540</v>
      </c>
      <c r="E50" s="3207">
        <v>23200</v>
      </c>
      <c r="F50" s="3207"/>
      <c r="G50" s="3220">
        <v>18580</v>
      </c>
      <c r="N50" s="3207" t="s">
        <v>3026</v>
      </c>
      <c r="Q50" s="3208" t="s">
        <v>3027</v>
      </c>
    </row>
    <row r="51" spans="1:17" ht="14.25" customHeight="1" thickBot="1">
      <c r="A51" s="3207" t="s">
        <v>296</v>
      </c>
      <c r="B51" s="3208" t="s">
        <v>2904</v>
      </c>
      <c r="C51" s="3207">
        <v>23000</v>
      </c>
      <c r="D51" s="3207">
        <v>23460</v>
      </c>
      <c r="E51" s="3207">
        <v>25290</v>
      </c>
      <c r="F51" s="3207"/>
      <c r="G51" s="3220">
        <v>16420</v>
      </c>
      <c r="N51" s="3207" t="s">
        <v>3028</v>
      </c>
      <c r="Q51" s="3214" t="s">
        <v>3029</v>
      </c>
    </row>
    <row r="52" spans="1:17" ht="14.25" customHeight="1">
      <c r="A52" s="3207" t="s">
        <v>296</v>
      </c>
      <c r="B52" s="3208" t="s">
        <v>2908</v>
      </c>
      <c r="C52" s="3207">
        <v>26660</v>
      </c>
      <c r="D52" s="3207">
        <v>22350</v>
      </c>
      <c r="E52" s="3207">
        <v>22920</v>
      </c>
      <c r="F52" s="3207"/>
      <c r="G52" s="3220">
        <v>15640</v>
      </c>
      <c r="N52" s="3207" t="s">
        <v>3030</v>
      </c>
    </row>
    <row r="53" spans="1:17" ht="14.25" customHeight="1">
      <c r="A53" s="3207" t="s">
        <v>296</v>
      </c>
      <c r="B53" s="3208" t="s">
        <v>2913</v>
      </c>
      <c r="C53" s="3207">
        <v>23580</v>
      </c>
      <c r="D53" s="3207"/>
      <c r="E53" s="3207">
        <v>24280</v>
      </c>
      <c r="F53" s="3207"/>
      <c r="G53" s="3220"/>
      <c r="N53" s="3207" t="s">
        <v>3031</v>
      </c>
    </row>
    <row r="54" spans="1:17" ht="14.25" customHeight="1" thickBot="1">
      <c r="A54" s="3221" t="s">
        <v>296</v>
      </c>
      <c r="B54" s="3213" t="s">
        <v>2916</v>
      </c>
      <c r="C54" s="3214">
        <v>22460</v>
      </c>
      <c r="D54" s="3214"/>
      <c r="E54" s="3214"/>
      <c r="F54" s="3214"/>
      <c r="G54" s="3222"/>
      <c r="N54" s="3207" t="s">
        <v>3032</v>
      </c>
    </row>
    <row r="55" spans="1:17" ht="14.25" customHeight="1">
      <c r="A55" s="3212" t="s">
        <v>110</v>
      </c>
      <c r="B55" s="3203" t="s">
        <v>3033</v>
      </c>
      <c r="C55" s="3207">
        <v>21970</v>
      </c>
      <c r="D55" s="3207">
        <v>20370</v>
      </c>
      <c r="E55" s="3207">
        <v>20180</v>
      </c>
      <c r="F55" s="3207">
        <v>5730</v>
      </c>
      <c r="G55" s="3207">
        <v>13820</v>
      </c>
      <c r="N55" s="3207" t="s">
        <v>3034</v>
      </c>
    </row>
    <row r="56" spans="1:17" ht="14.25" customHeight="1">
      <c r="A56" s="3207" t="s">
        <v>110</v>
      </c>
      <c r="B56" s="3207" t="s">
        <v>130</v>
      </c>
      <c r="C56" s="3207">
        <v>20470</v>
      </c>
      <c r="D56" s="3207">
        <v>20700</v>
      </c>
      <c r="E56" s="3207">
        <v>20380</v>
      </c>
      <c r="F56" s="3207">
        <v>4760</v>
      </c>
      <c r="G56" s="3207">
        <v>14050</v>
      </c>
      <c r="N56" s="3207" t="s">
        <v>3035</v>
      </c>
    </row>
    <row r="57" spans="1:17" ht="14.25" customHeight="1">
      <c r="A57" s="3207" t="s">
        <v>110</v>
      </c>
      <c r="B57" s="3207" t="s">
        <v>139</v>
      </c>
      <c r="C57" s="3207">
        <v>20790</v>
      </c>
      <c r="D57" s="3207">
        <v>21370</v>
      </c>
      <c r="E57" s="3207">
        <v>20890</v>
      </c>
      <c r="F57" s="3207">
        <v>4910</v>
      </c>
      <c r="G57" s="3207">
        <v>14510</v>
      </c>
      <c r="N57" s="3207" t="s">
        <v>3036</v>
      </c>
    </row>
    <row r="58" spans="1:17" ht="14.25" customHeight="1">
      <c r="A58" s="3207" t="s">
        <v>110</v>
      </c>
      <c r="B58" s="3207" t="s">
        <v>148</v>
      </c>
      <c r="C58" s="3207">
        <v>21460</v>
      </c>
      <c r="D58" s="3207">
        <v>20920</v>
      </c>
      <c r="E58" s="3207">
        <v>23410</v>
      </c>
      <c r="F58" s="3207">
        <v>5100</v>
      </c>
      <c r="G58" s="3207">
        <v>14200</v>
      </c>
      <c r="N58" s="3207" t="s">
        <v>3037</v>
      </c>
    </row>
    <row r="59" spans="1:17" ht="14.25" customHeight="1">
      <c r="A59" s="3207" t="s">
        <v>110</v>
      </c>
      <c r="B59" s="3207" t="s">
        <v>157</v>
      </c>
      <c r="C59" s="3207">
        <v>21000</v>
      </c>
      <c r="D59" s="3207">
        <v>21550</v>
      </c>
      <c r="E59" s="3207">
        <v>21150</v>
      </c>
      <c r="F59" s="3207">
        <v>5250</v>
      </c>
      <c r="G59" s="3207">
        <v>14630</v>
      </c>
      <c r="N59" s="3207" t="s">
        <v>3038</v>
      </c>
    </row>
    <row r="60" spans="1:17" ht="14.25" customHeight="1">
      <c r="A60" s="3207" t="s">
        <v>110</v>
      </c>
      <c r="B60" s="3207" t="s">
        <v>164</v>
      </c>
      <c r="C60" s="3207">
        <v>21640</v>
      </c>
      <c r="D60" s="3207">
        <v>21260</v>
      </c>
      <c r="E60" s="3207">
        <v>24040</v>
      </c>
      <c r="F60" s="3207">
        <v>4470</v>
      </c>
      <c r="G60" s="3207">
        <v>14430</v>
      </c>
      <c r="N60" s="3207" t="s">
        <v>3039</v>
      </c>
    </row>
    <row r="61" spans="1:17" ht="14.25" customHeight="1">
      <c r="A61" s="3207" t="s">
        <v>110</v>
      </c>
      <c r="B61" s="3207" t="s">
        <v>170</v>
      </c>
      <c r="C61" s="3207">
        <v>21330</v>
      </c>
      <c r="D61" s="3207">
        <v>18640</v>
      </c>
      <c r="E61" s="3207">
        <v>21190</v>
      </c>
      <c r="F61" s="3207">
        <v>4180</v>
      </c>
      <c r="G61" s="3207">
        <v>12650</v>
      </c>
      <c r="N61" s="3207" t="s">
        <v>3040</v>
      </c>
    </row>
    <row r="62" spans="1:17" ht="14.25" customHeight="1">
      <c r="A62" s="3207" t="s">
        <v>110</v>
      </c>
      <c r="B62" s="3207" t="s">
        <v>177</v>
      </c>
      <c r="C62" s="3207">
        <v>18710</v>
      </c>
      <c r="D62" s="3207">
        <v>19400</v>
      </c>
      <c r="E62" s="3207">
        <v>23750</v>
      </c>
      <c r="F62" s="3207">
        <v>4860</v>
      </c>
      <c r="G62" s="3207">
        <v>13170</v>
      </c>
      <c r="N62" s="3207" t="s">
        <v>3041</v>
      </c>
    </row>
    <row r="63" spans="1:17" ht="14.25" customHeight="1">
      <c r="A63" s="3207" t="s">
        <v>110</v>
      </c>
      <c r="B63" s="3207" t="s">
        <v>187</v>
      </c>
      <c r="C63" s="3207">
        <v>19480</v>
      </c>
      <c r="D63" s="3207">
        <v>16830</v>
      </c>
      <c r="E63" s="3207">
        <v>21590</v>
      </c>
      <c r="F63" s="3207">
        <v>4560</v>
      </c>
      <c r="G63" s="3207">
        <v>11420</v>
      </c>
      <c r="N63" s="3207" t="s">
        <v>3042</v>
      </c>
    </row>
    <row r="64" spans="1:17" ht="14.25" customHeight="1" thickBot="1">
      <c r="A64" s="3207" t="s">
        <v>110</v>
      </c>
      <c r="B64" s="3207" t="s">
        <v>196</v>
      </c>
      <c r="C64" s="3207">
        <v>16920</v>
      </c>
      <c r="D64" s="3207">
        <v>19190</v>
      </c>
      <c r="E64" s="3207">
        <v>22200</v>
      </c>
      <c r="F64" s="3207">
        <v>4390</v>
      </c>
      <c r="G64" s="3207">
        <v>13030</v>
      </c>
      <c r="N64" s="3214" t="s">
        <v>3043</v>
      </c>
    </row>
    <row r="65" spans="1:7" s="3196" customFormat="1" ht="14.25" customHeight="1">
      <c r="A65" s="3207" t="s">
        <v>110</v>
      </c>
      <c r="B65" s="3207" t="s">
        <v>203</v>
      </c>
      <c r="C65" s="3207">
        <v>19290</v>
      </c>
      <c r="D65" s="3207">
        <v>17020</v>
      </c>
      <c r="E65" s="3207">
        <v>19880</v>
      </c>
      <c r="F65" s="3207">
        <v>4070</v>
      </c>
      <c r="G65" s="3207">
        <v>11550</v>
      </c>
    </row>
    <row r="66" spans="1:7" s="3196" customFormat="1" ht="14.25" customHeight="1">
      <c r="A66" s="3207" t="s">
        <v>110</v>
      </c>
      <c r="B66" s="3207" t="s">
        <v>210</v>
      </c>
      <c r="C66" s="3207">
        <v>17090</v>
      </c>
      <c r="D66" s="3207">
        <v>18340</v>
      </c>
      <c r="E66" s="3207">
        <v>21830</v>
      </c>
      <c r="F66" s="3207">
        <v>4690</v>
      </c>
      <c r="G66" s="3207">
        <v>12450</v>
      </c>
    </row>
    <row r="67" spans="1:7" s="3196" customFormat="1" ht="14.25" customHeight="1">
      <c r="A67" s="3207" t="s">
        <v>110</v>
      </c>
      <c r="B67" s="3207" t="s">
        <v>216</v>
      </c>
      <c r="C67" s="3207">
        <v>18420</v>
      </c>
      <c r="D67" s="3207">
        <v>16360</v>
      </c>
      <c r="E67" s="3207">
        <v>20020</v>
      </c>
      <c r="F67" s="3207">
        <v>5150</v>
      </c>
      <c r="G67" s="3207">
        <v>11110</v>
      </c>
    </row>
    <row r="68" spans="1:7" s="3196" customFormat="1" ht="14.25" customHeight="1">
      <c r="A68" s="3207" t="s">
        <v>110</v>
      </c>
      <c r="B68" s="3207" t="s">
        <v>224</v>
      </c>
      <c r="C68" s="3207">
        <v>16450</v>
      </c>
      <c r="D68" s="3207">
        <v>18430</v>
      </c>
      <c r="E68" s="3207">
        <v>21010</v>
      </c>
      <c r="F68" s="3207">
        <v>4720</v>
      </c>
      <c r="G68" s="3207">
        <v>12510</v>
      </c>
    </row>
    <row r="69" spans="1:7" s="3196" customFormat="1" ht="14.25" customHeight="1">
      <c r="A69" s="3207" t="s">
        <v>110</v>
      </c>
      <c r="B69" s="3207" t="s">
        <v>232</v>
      </c>
      <c r="C69" s="3207">
        <v>18510</v>
      </c>
      <c r="D69" s="3207">
        <v>16300</v>
      </c>
      <c r="E69" s="3207">
        <v>18830</v>
      </c>
      <c r="F69" s="3207">
        <v>5400</v>
      </c>
      <c r="G69" s="3207">
        <v>11070</v>
      </c>
    </row>
    <row r="70" spans="1:7" s="3196" customFormat="1" ht="14.25" customHeight="1">
      <c r="A70" s="3207" t="s">
        <v>110</v>
      </c>
      <c r="B70" s="3207" t="s">
        <v>237</v>
      </c>
      <c r="C70" s="3207">
        <v>16370</v>
      </c>
      <c r="D70" s="3207">
        <v>18620</v>
      </c>
      <c r="E70" s="3207">
        <v>21100</v>
      </c>
      <c r="F70" s="3207">
        <v>5700</v>
      </c>
      <c r="G70" s="3207">
        <v>12640</v>
      </c>
    </row>
    <row r="71" spans="1:7" s="3196" customFormat="1" ht="14.25" customHeight="1">
      <c r="A71" s="3207" t="s">
        <v>110</v>
      </c>
      <c r="B71" s="3207" t="s">
        <v>246</v>
      </c>
      <c r="C71" s="3207">
        <v>18700</v>
      </c>
      <c r="D71" s="3207">
        <v>16290</v>
      </c>
      <c r="E71" s="3207">
        <v>18760</v>
      </c>
      <c r="F71" s="3207">
        <v>4780</v>
      </c>
      <c r="G71" s="3207">
        <v>11050</v>
      </c>
    </row>
    <row r="72" spans="1:7" s="3196" customFormat="1" ht="14.25" customHeight="1">
      <c r="A72" s="3207" t="s">
        <v>110</v>
      </c>
      <c r="B72" s="3207" t="s">
        <v>253</v>
      </c>
      <c r="C72" s="3207">
        <v>16340</v>
      </c>
      <c r="D72" s="3207">
        <v>17520</v>
      </c>
      <c r="E72" s="3207">
        <v>21170</v>
      </c>
      <c r="F72" s="3207"/>
      <c r="G72" s="3207">
        <v>11900</v>
      </c>
    </row>
    <row r="73" spans="1:7" s="3196" customFormat="1" ht="14.25" customHeight="1">
      <c r="A73" s="3207" t="s">
        <v>110</v>
      </c>
      <c r="B73" s="3207" t="s">
        <v>261</v>
      </c>
      <c r="C73" s="3207">
        <v>17610</v>
      </c>
      <c r="D73" s="3207">
        <v>18520</v>
      </c>
      <c r="E73" s="3207">
        <v>18720</v>
      </c>
      <c r="F73" s="3207"/>
      <c r="G73" s="3207">
        <v>12570</v>
      </c>
    </row>
    <row r="74" spans="1:7" s="3196" customFormat="1" ht="14.25" customHeight="1">
      <c r="A74" s="3207" t="s">
        <v>110</v>
      </c>
      <c r="B74" s="3207" t="s">
        <v>268</v>
      </c>
      <c r="C74" s="3207">
        <v>18600</v>
      </c>
      <c r="D74" s="3207">
        <v>16480</v>
      </c>
      <c r="E74" s="3207">
        <v>20100</v>
      </c>
      <c r="F74" s="3207"/>
      <c r="G74" s="3207">
        <v>11190</v>
      </c>
    </row>
    <row r="75" spans="1:7" s="3196" customFormat="1" ht="14.25" customHeight="1">
      <c r="A75" s="3207" t="s">
        <v>110</v>
      </c>
      <c r="B75" s="3207" t="s">
        <v>272</v>
      </c>
      <c r="C75" s="3207">
        <v>16570</v>
      </c>
      <c r="D75" s="3207">
        <v>17530</v>
      </c>
      <c r="E75" s="3207">
        <v>21030</v>
      </c>
      <c r="F75" s="3207"/>
      <c r="G75" s="3207">
        <v>11900</v>
      </c>
    </row>
    <row r="76" spans="1:7" s="3196" customFormat="1" ht="14.25" customHeight="1">
      <c r="A76" s="3207" t="s">
        <v>110</v>
      </c>
      <c r="B76" s="3207" t="s">
        <v>278</v>
      </c>
      <c r="C76" s="3207">
        <v>17610</v>
      </c>
      <c r="D76" s="3207">
        <v>20800</v>
      </c>
      <c r="E76" s="3207">
        <v>18920</v>
      </c>
      <c r="F76" s="3207"/>
      <c r="G76" s="3207">
        <v>14120</v>
      </c>
    </row>
    <row r="77" spans="1:7" s="3196" customFormat="1" ht="14.25" customHeight="1">
      <c r="A77" s="3207" t="s">
        <v>110</v>
      </c>
      <c r="B77" s="3207" t="s">
        <v>281</v>
      </c>
      <c r="C77" s="3207">
        <v>20890</v>
      </c>
      <c r="D77" s="3207">
        <v>19740</v>
      </c>
      <c r="E77" s="3207">
        <v>20110</v>
      </c>
      <c r="F77" s="3207"/>
      <c r="G77" s="3207">
        <v>13400</v>
      </c>
    </row>
    <row r="78" spans="1:7" s="3196" customFormat="1" ht="14.25" customHeight="1">
      <c r="A78" s="3207" t="s">
        <v>110</v>
      </c>
      <c r="B78" s="3207" t="s">
        <v>2914</v>
      </c>
      <c r="C78" s="3207">
        <v>19820</v>
      </c>
      <c r="D78" s="3207">
        <v>19780</v>
      </c>
      <c r="E78" s="3207">
        <v>18560</v>
      </c>
      <c r="F78" s="3207"/>
      <c r="G78" s="3207">
        <v>13430</v>
      </c>
    </row>
    <row r="79" spans="1:7" s="3196" customFormat="1" ht="14.25" customHeight="1">
      <c r="A79" s="3207" t="s">
        <v>110</v>
      </c>
      <c r="B79" s="3207" t="s">
        <v>2917</v>
      </c>
      <c r="C79" s="3207">
        <v>21660</v>
      </c>
      <c r="D79" s="3207">
        <v>18000</v>
      </c>
      <c r="E79" s="3207">
        <v>22570</v>
      </c>
      <c r="F79" s="3207"/>
      <c r="G79" s="3207">
        <v>12220</v>
      </c>
    </row>
    <row r="80" spans="1:7" s="3196" customFormat="1" ht="14.25" customHeight="1">
      <c r="A80" s="3207" t="s">
        <v>110</v>
      </c>
      <c r="B80" s="3207" t="s">
        <v>2921</v>
      </c>
      <c r="C80" s="3207">
        <v>19850</v>
      </c>
      <c r="D80" s="3207"/>
      <c r="E80" s="3207">
        <v>21700</v>
      </c>
      <c r="F80" s="3207"/>
      <c r="G80" s="3207"/>
    </row>
    <row r="81" spans="1:7" s="3196" customFormat="1" ht="14.25" customHeight="1">
      <c r="A81" s="3207" t="s">
        <v>110</v>
      </c>
      <c r="B81" s="3207" t="s">
        <v>2926</v>
      </c>
      <c r="C81" s="3207">
        <v>18080</v>
      </c>
      <c r="D81" s="3207"/>
      <c r="E81" s="3207">
        <v>20900</v>
      </c>
      <c r="F81" s="3207"/>
      <c r="G81" s="3207"/>
    </row>
    <row r="82" spans="1:7" s="3196" customFormat="1" ht="14.25" customHeight="1">
      <c r="A82" s="3207" t="s">
        <v>110</v>
      </c>
      <c r="B82" s="3207" t="s">
        <v>2933</v>
      </c>
      <c r="C82" s="3207"/>
      <c r="D82" s="3207"/>
      <c r="E82" s="3207">
        <v>20840</v>
      </c>
      <c r="F82" s="3207"/>
      <c r="G82" s="3207"/>
    </row>
    <row r="83" spans="1:7" s="3196" customFormat="1" ht="14.25" customHeight="1">
      <c r="A83" s="3207" t="s">
        <v>110</v>
      </c>
      <c r="B83" s="3207" t="s">
        <v>3044</v>
      </c>
      <c r="C83" s="3207"/>
      <c r="D83" s="3207"/>
      <c r="E83" s="3207"/>
      <c r="F83" s="3207">
        <v>4770</v>
      </c>
      <c r="G83" s="3207"/>
    </row>
    <row r="84" spans="1:7" s="3196" customFormat="1" ht="14.25" customHeight="1">
      <c r="A84" s="3207" t="s">
        <v>110</v>
      </c>
      <c r="B84" s="3207" t="s">
        <v>3045</v>
      </c>
      <c r="C84" s="3207"/>
      <c r="D84" s="3207"/>
      <c r="E84" s="3207"/>
      <c r="F84" s="3207">
        <v>4600</v>
      </c>
      <c r="G84" s="3207"/>
    </row>
    <row r="85" spans="1:7" s="3196" customFormat="1" ht="14.25" customHeight="1">
      <c r="A85" s="3207" t="s">
        <v>110</v>
      </c>
      <c r="B85" s="3207" t="s">
        <v>3046</v>
      </c>
      <c r="C85" s="3207"/>
      <c r="D85" s="3207"/>
      <c r="E85" s="3207"/>
      <c r="F85" s="3207">
        <v>4680</v>
      </c>
      <c r="G85" s="3207"/>
    </row>
    <row r="86" spans="1:7" s="3196" customFormat="1" ht="14.25" customHeight="1" thickBot="1">
      <c r="A86" s="3215" t="s">
        <v>110</v>
      </c>
      <c r="B86" s="3217" t="s">
        <v>3047</v>
      </c>
      <c r="C86" s="3218">
        <v>16610</v>
      </c>
      <c r="D86" s="3218">
        <v>16540</v>
      </c>
      <c r="E86" s="3218">
        <v>18850</v>
      </c>
      <c r="F86" s="3218"/>
      <c r="G86" s="3218">
        <v>11220</v>
      </c>
    </row>
    <row r="87" spans="1:7" s="3196" customFormat="1" ht="14.25" customHeight="1">
      <c r="A87" s="3212" t="s">
        <v>303</v>
      </c>
      <c r="B87" s="3203" t="s">
        <v>3048</v>
      </c>
      <c r="C87" s="3203">
        <v>15240</v>
      </c>
      <c r="D87" s="3203">
        <v>15170</v>
      </c>
      <c r="E87" s="3203">
        <v>18260</v>
      </c>
      <c r="F87" s="3203">
        <v>3830</v>
      </c>
      <c r="G87" s="3219">
        <v>10020</v>
      </c>
    </row>
    <row r="88" spans="1:7" s="3196" customFormat="1" ht="14.25" customHeight="1">
      <c r="A88" s="3207" t="s">
        <v>303</v>
      </c>
      <c r="B88" s="3207" t="s">
        <v>131</v>
      </c>
      <c r="C88" s="3207">
        <v>17310</v>
      </c>
      <c r="D88" s="3207">
        <v>17220</v>
      </c>
      <c r="E88" s="3207">
        <v>18610</v>
      </c>
      <c r="F88" s="3207">
        <v>3990</v>
      </c>
      <c r="G88" s="3220">
        <v>11380</v>
      </c>
    </row>
    <row r="89" spans="1:7" s="3196" customFormat="1" ht="14.25" customHeight="1">
      <c r="A89" s="3207" t="s">
        <v>303</v>
      </c>
      <c r="B89" s="3207" t="s">
        <v>140</v>
      </c>
      <c r="C89" s="3207">
        <v>15600</v>
      </c>
      <c r="D89" s="3207">
        <v>15550</v>
      </c>
      <c r="E89" s="3207">
        <v>19200</v>
      </c>
      <c r="F89" s="3207">
        <v>4110</v>
      </c>
      <c r="G89" s="3220">
        <v>10270</v>
      </c>
    </row>
    <row r="90" spans="1:7" s="3196" customFormat="1" ht="14.25" customHeight="1">
      <c r="A90" s="3207" t="s">
        <v>303</v>
      </c>
      <c r="B90" s="3207" t="s">
        <v>149</v>
      </c>
      <c r="C90" s="3207">
        <v>17330</v>
      </c>
      <c r="D90" s="3207">
        <v>17240</v>
      </c>
      <c r="E90" s="3207">
        <v>18570</v>
      </c>
      <c r="F90" s="3207">
        <v>4070</v>
      </c>
      <c r="G90" s="3220">
        <v>11390</v>
      </c>
    </row>
    <row r="91" spans="1:7" s="3196" customFormat="1" ht="14.25" customHeight="1">
      <c r="A91" s="3207" t="s">
        <v>303</v>
      </c>
      <c r="B91" s="3207" t="s">
        <v>158</v>
      </c>
      <c r="C91" s="3207">
        <v>16330</v>
      </c>
      <c r="D91" s="3207">
        <v>16260</v>
      </c>
      <c r="E91" s="3207">
        <v>16800</v>
      </c>
      <c r="F91" s="3207">
        <v>3410</v>
      </c>
      <c r="G91" s="3220">
        <v>10740</v>
      </c>
    </row>
    <row r="92" spans="1:7" s="3196" customFormat="1" ht="14.25" customHeight="1">
      <c r="A92" s="3207" t="s">
        <v>303</v>
      </c>
      <c r="B92" s="3207" t="s">
        <v>165</v>
      </c>
      <c r="C92" s="3207">
        <v>15570</v>
      </c>
      <c r="D92" s="3207">
        <v>15500</v>
      </c>
      <c r="E92" s="3207">
        <v>17360</v>
      </c>
      <c r="F92" s="3207">
        <v>3510</v>
      </c>
      <c r="G92" s="3220">
        <v>10240</v>
      </c>
    </row>
    <row r="93" spans="1:7" s="3196" customFormat="1" ht="14.25" customHeight="1">
      <c r="A93" s="3207" t="s">
        <v>303</v>
      </c>
      <c r="B93" s="3207" t="s">
        <v>171</v>
      </c>
      <c r="C93" s="3207">
        <v>14000</v>
      </c>
      <c r="D93" s="3207">
        <v>13930</v>
      </c>
      <c r="E93" s="3207">
        <v>18200</v>
      </c>
      <c r="F93" s="3207">
        <v>3640</v>
      </c>
      <c r="G93" s="3220">
        <v>9210</v>
      </c>
    </row>
    <row r="94" spans="1:7" s="3196" customFormat="1" ht="14.25" customHeight="1">
      <c r="A94" s="3207" t="s">
        <v>303</v>
      </c>
      <c r="B94" s="3207" t="s">
        <v>178</v>
      </c>
      <c r="C94" s="3207">
        <v>14530</v>
      </c>
      <c r="D94" s="3207">
        <v>14470</v>
      </c>
      <c r="E94" s="3207">
        <v>18240</v>
      </c>
      <c r="F94" s="3207">
        <v>3180</v>
      </c>
      <c r="G94" s="3220">
        <v>9560</v>
      </c>
    </row>
    <row r="95" spans="1:7" s="3196" customFormat="1" ht="14.25" customHeight="1">
      <c r="A95" s="3207" t="s">
        <v>303</v>
      </c>
      <c r="B95" s="3207" t="s">
        <v>188</v>
      </c>
      <c r="C95" s="3207">
        <v>17330</v>
      </c>
      <c r="D95" s="3207">
        <v>17260</v>
      </c>
      <c r="E95" s="3207">
        <v>18420</v>
      </c>
      <c r="F95" s="3207">
        <v>3060</v>
      </c>
      <c r="G95" s="3220">
        <v>11410</v>
      </c>
    </row>
    <row r="96" spans="1:7" s="3196" customFormat="1" ht="14.25" customHeight="1">
      <c r="A96" s="3207" t="s">
        <v>303</v>
      </c>
      <c r="B96" s="3207" t="s">
        <v>197</v>
      </c>
      <c r="C96" s="3207">
        <v>15030</v>
      </c>
      <c r="D96" s="3207">
        <v>14970</v>
      </c>
      <c r="E96" s="3207">
        <v>17580</v>
      </c>
      <c r="F96" s="3207">
        <v>2970</v>
      </c>
      <c r="G96" s="3220">
        <v>9890</v>
      </c>
    </row>
    <row r="97" spans="1:7" s="3196" customFormat="1" ht="14.25" customHeight="1">
      <c r="A97" s="3207" t="s">
        <v>303</v>
      </c>
      <c r="B97" s="3207" t="s">
        <v>204</v>
      </c>
      <c r="C97" s="3207">
        <v>17400</v>
      </c>
      <c r="D97" s="3207">
        <v>17330</v>
      </c>
      <c r="E97" s="3207">
        <v>16430</v>
      </c>
      <c r="F97" s="3207">
        <v>2950</v>
      </c>
      <c r="G97" s="3220">
        <v>11450</v>
      </c>
    </row>
    <row r="98" spans="1:7" s="3196" customFormat="1" ht="14.25" customHeight="1">
      <c r="A98" s="3207" t="s">
        <v>303</v>
      </c>
      <c r="B98" s="3207" t="s">
        <v>211</v>
      </c>
      <c r="C98" s="3207">
        <v>15200</v>
      </c>
      <c r="D98" s="3207">
        <v>15120</v>
      </c>
      <c r="E98" s="3207">
        <v>17550</v>
      </c>
      <c r="F98" s="3207">
        <v>3080</v>
      </c>
      <c r="G98" s="3220">
        <v>9990</v>
      </c>
    </row>
    <row r="99" spans="1:7" s="3196" customFormat="1" ht="14.25" customHeight="1">
      <c r="A99" s="3207" t="s">
        <v>303</v>
      </c>
      <c r="B99" s="3207" t="s">
        <v>217</v>
      </c>
      <c r="C99" s="3207">
        <v>17520</v>
      </c>
      <c r="D99" s="3207">
        <v>17430</v>
      </c>
      <c r="E99" s="3207">
        <v>16350</v>
      </c>
      <c r="F99" s="3207">
        <v>3260</v>
      </c>
      <c r="G99" s="3220">
        <v>11510</v>
      </c>
    </row>
    <row r="100" spans="1:7" s="3196" customFormat="1" ht="14.25" customHeight="1">
      <c r="A100" s="3207" t="s">
        <v>303</v>
      </c>
      <c r="B100" s="3207" t="s">
        <v>225</v>
      </c>
      <c r="C100" s="3207">
        <v>15340</v>
      </c>
      <c r="D100" s="3207">
        <v>15260</v>
      </c>
      <c r="E100" s="3207">
        <v>15930</v>
      </c>
      <c r="F100" s="3207">
        <v>2740</v>
      </c>
      <c r="G100" s="3220">
        <v>10080</v>
      </c>
    </row>
    <row r="101" spans="1:7" s="3196" customFormat="1" ht="14.25" customHeight="1">
      <c r="A101" s="3207" t="s">
        <v>303</v>
      </c>
      <c r="B101" s="3207" t="s">
        <v>233</v>
      </c>
      <c r="C101" s="3207">
        <v>14620</v>
      </c>
      <c r="D101" s="3207">
        <v>14560</v>
      </c>
      <c r="E101" s="3207">
        <v>15570</v>
      </c>
      <c r="F101" s="3207">
        <v>3500</v>
      </c>
      <c r="G101" s="3220">
        <v>9630</v>
      </c>
    </row>
    <row r="102" spans="1:7" s="3196" customFormat="1" ht="14.25" customHeight="1">
      <c r="A102" s="3207" t="s">
        <v>303</v>
      </c>
      <c r="B102" s="3207" t="s">
        <v>238</v>
      </c>
      <c r="C102" s="3207">
        <v>13680</v>
      </c>
      <c r="D102" s="3207">
        <v>13610</v>
      </c>
      <c r="E102" s="3207">
        <v>15690</v>
      </c>
      <c r="F102" s="3207">
        <v>2870</v>
      </c>
      <c r="G102" s="3220">
        <v>8990</v>
      </c>
    </row>
    <row r="103" spans="1:7" s="3196" customFormat="1" ht="14.25" customHeight="1">
      <c r="A103" s="3207" t="s">
        <v>303</v>
      </c>
      <c r="B103" s="3207" t="s">
        <v>247</v>
      </c>
      <c r="C103" s="3207">
        <v>14620</v>
      </c>
      <c r="D103" s="3207">
        <v>14540</v>
      </c>
      <c r="E103" s="3207">
        <v>15240</v>
      </c>
      <c r="F103" s="3207">
        <v>2840</v>
      </c>
      <c r="G103" s="3220">
        <v>9610</v>
      </c>
    </row>
    <row r="104" spans="1:7" s="3196" customFormat="1" ht="14.25" customHeight="1">
      <c r="A104" s="3207" t="s">
        <v>303</v>
      </c>
      <c r="B104" s="3207" t="s">
        <v>254</v>
      </c>
      <c r="C104" s="3207">
        <v>13610</v>
      </c>
      <c r="D104" s="3207">
        <v>13540</v>
      </c>
      <c r="E104" s="3207">
        <v>15750</v>
      </c>
      <c r="F104" s="3207">
        <v>2770</v>
      </c>
      <c r="G104" s="3220">
        <v>8940</v>
      </c>
    </row>
    <row r="105" spans="1:7" s="3196" customFormat="1" ht="14.25" customHeight="1">
      <c r="A105" s="3207" t="s">
        <v>303</v>
      </c>
      <c r="B105" s="3207" t="s">
        <v>262</v>
      </c>
      <c r="C105" s="3207">
        <v>13310</v>
      </c>
      <c r="D105" s="3207">
        <v>13240</v>
      </c>
      <c r="E105" s="3207">
        <v>16280</v>
      </c>
      <c r="F105" s="3207">
        <v>3210</v>
      </c>
      <c r="G105" s="3220">
        <v>8750</v>
      </c>
    </row>
    <row r="106" spans="1:7" s="3196" customFormat="1" ht="14.25" customHeight="1">
      <c r="A106" s="3207" t="s">
        <v>303</v>
      </c>
      <c r="B106" s="3207" t="s">
        <v>269</v>
      </c>
      <c r="C106" s="3207">
        <v>13010</v>
      </c>
      <c r="D106" s="3207">
        <v>12930</v>
      </c>
      <c r="E106" s="3207">
        <v>14960</v>
      </c>
      <c r="F106" s="3207">
        <v>3530</v>
      </c>
      <c r="G106" s="3220">
        <v>8550</v>
      </c>
    </row>
    <row r="107" spans="1:7" s="3196" customFormat="1" ht="14.25" customHeight="1">
      <c r="A107" s="3207" t="s">
        <v>303</v>
      </c>
      <c r="B107" s="3207" t="s">
        <v>273</v>
      </c>
      <c r="C107" s="3207">
        <v>13070</v>
      </c>
      <c r="D107" s="3207">
        <v>13000</v>
      </c>
      <c r="E107" s="3207">
        <v>15910</v>
      </c>
      <c r="F107" s="3207">
        <v>3990</v>
      </c>
      <c r="G107" s="3220">
        <v>8580</v>
      </c>
    </row>
    <row r="108" spans="1:7" s="3196" customFormat="1" ht="14.25" customHeight="1">
      <c r="A108" s="3207" t="s">
        <v>303</v>
      </c>
      <c r="B108" s="3207" t="s">
        <v>279</v>
      </c>
      <c r="C108" s="3207">
        <v>12640</v>
      </c>
      <c r="D108" s="3207">
        <v>12580</v>
      </c>
      <c r="E108" s="3207">
        <v>15730</v>
      </c>
      <c r="F108" s="3207"/>
      <c r="G108" s="3220">
        <v>8310</v>
      </c>
    </row>
    <row r="109" spans="1:7" s="3196" customFormat="1" ht="14.25" customHeight="1">
      <c r="A109" s="3207" t="s">
        <v>303</v>
      </c>
      <c r="B109" s="3207" t="s">
        <v>282</v>
      </c>
      <c r="C109" s="3207">
        <v>13130</v>
      </c>
      <c r="D109" s="3207">
        <v>13070</v>
      </c>
      <c r="E109" s="3207">
        <v>15000</v>
      </c>
      <c r="F109" s="3207"/>
      <c r="G109" s="3220">
        <v>8630</v>
      </c>
    </row>
    <row r="110" spans="1:7" s="3196" customFormat="1" ht="14.25" customHeight="1">
      <c r="A110" s="3207" t="s">
        <v>303</v>
      </c>
      <c r="B110" s="3207" t="s">
        <v>284</v>
      </c>
      <c r="C110" s="3207">
        <v>13560</v>
      </c>
      <c r="D110" s="3207">
        <v>13490</v>
      </c>
      <c r="E110" s="3207">
        <v>16300</v>
      </c>
      <c r="F110" s="3207"/>
      <c r="G110" s="3220">
        <v>8920</v>
      </c>
    </row>
    <row r="111" spans="1:7" s="3196" customFormat="1" ht="14.25" customHeight="1">
      <c r="A111" s="3207" t="s">
        <v>303</v>
      </c>
      <c r="B111" s="3207" t="s">
        <v>287</v>
      </c>
      <c r="C111" s="3207">
        <v>12440</v>
      </c>
      <c r="D111" s="3207">
        <v>12380</v>
      </c>
      <c r="E111" s="3207">
        <v>17850</v>
      </c>
      <c r="F111" s="3207"/>
      <c r="G111" s="3220">
        <v>8180</v>
      </c>
    </row>
    <row r="112" spans="1:7" s="3196" customFormat="1" ht="14.25" customHeight="1">
      <c r="A112" s="3207" t="s">
        <v>303</v>
      </c>
      <c r="B112" s="3207" t="s">
        <v>291</v>
      </c>
      <c r="C112" s="3207">
        <v>13260</v>
      </c>
      <c r="D112" s="3207">
        <v>13180</v>
      </c>
      <c r="E112" s="3207">
        <v>19740</v>
      </c>
      <c r="F112" s="3207"/>
      <c r="G112" s="3220">
        <v>8710</v>
      </c>
    </row>
    <row r="113" spans="1:7" s="3196" customFormat="1" ht="14.25" customHeight="1">
      <c r="A113" s="3207" t="s">
        <v>303</v>
      </c>
      <c r="B113" s="3207" t="s">
        <v>2927</v>
      </c>
      <c r="C113" s="3207">
        <v>15520</v>
      </c>
      <c r="D113" s="3207">
        <v>15450</v>
      </c>
      <c r="E113" s="3207"/>
      <c r="F113" s="3207"/>
      <c r="G113" s="3220">
        <v>10210</v>
      </c>
    </row>
    <row r="114" spans="1:7" s="3196" customFormat="1" ht="14.25" customHeight="1">
      <c r="A114" s="3207" t="s">
        <v>303</v>
      </c>
      <c r="B114" s="3207" t="s">
        <v>2934</v>
      </c>
      <c r="C114" s="3207">
        <v>13110</v>
      </c>
      <c r="D114" s="3207">
        <v>13050</v>
      </c>
      <c r="E114" s="3207"/>
      <c r="F114" s="3207"/>
      <c r="G114" s="3220">
        <v>8620</v>
      </c>
    </row>
    <row r="115" spans="1:7" s="3196" customFormat="1" ht="14.25" customHeight="1">
      <c r="A115" s="3207" t="s">
        <v>303</v>
      </c>
      <c r="B115" s="3207" t="s">
        <v>2940</v>
      </c>
      <c r="C115" s="3207">
        <v>12460</v>
      </c>
      <c r="D115" s="3207">
        <v>12390</v>
      </c>
      <c r="E115" s="3207"/>
      <c r="F115" s="3207"/>
      <c r="G115" s="3220">
        <v>8190</v>
      </c>
    </row>
    <row r="116" spans="1:7" s="3196" customFormat="1" ht="14.25" customHeight="1">
      <c r="A116" s="3207" t="s">
        <v>303</v>
      </c>
      <c r="B116" s="3207" t="s">
        <v>2947</v>
      </c>
      <c r="C116" s="3207">
        <v>13580</v>
      </c>
      <c r="D116" s="3207">
        <v>13520</v>
      </c>
      <c r="E116" s="3207"/>
      <c r="F116" s="3207"/>
      <c r="G116" s="3220">
        <v>8930</v>
      </c>
    </row>
    <row r="117" spans="1:7" s="3196" customFormat="1" ht="14.25" customHeight="1">
      <c r="A117" s="3207" t="s">
        <v>303</v>
      </c>
      <c r="B117" s="3207" t="s">
        <v>2954</v>
      </c>
      <c r="C117" s="3207">
        <v>17120</v>
      </c>
      <c r="D117" s="3207">
        <v>17040</v>
      </c>
      <c r="E117" s="3207"/>
      <c r="F117" s="3207"/>
      <c r="G117" s="3220">
        <v>11260</v>
      </c>
    </row>
    <row r="118" spans="1:7" s="3196" customFormat="1" ht="14.25" customHeight="1">
      <c r="A118" s="3207" t="s">
        <v>303</v>
      </c>
      <c r="B118" s="3207" t="s">
        <v>2959</v>
      </c>
      <c r="C118" s="3207">
        <v>14860</v>
      </c>
      <c r="D118" s="3207">
        <v>14790</v>
      </c>
      <c r="E118" s="3207"/>
      <c r="F118" s="3207"/>
      <c r="G118" s="3220">
        <v>9780</v>
      </c>
    </row>
    <row r="119" spans="1:7" s="3196" customFormat="1" ht="14.25" customHeight="1">
      <c r="A119" s="3207" t="s">
        <v>303</v>
      </c>
      <c r="B119" s="3207" t="s">
        <v>2963</v>
      </c>
      <c r="C119" s="3207">
        <v>16470</v>
      </c>
      <c r="D119" s="3207">
        <v>16400</v>
      </c>
      <c r="E119" s="3207"/>
      <c r="F119" s="3207"/>
      <c r="G119" s="3220">
        <v>10840</v>
      </c>
    </row>
    <row r="120" spans="1:7" s="3196" customFormat="1" ht="14.25" customHeight="1">
      <c r="A120" s="3207" t="s">
        <v>303</v>
      </c>
      <c r="B120" s="3207" t="s">
        <v>3049</v>
      </c>
      <c r="C120" s="3207"/>
      <c r="D120" s="3207"/>
      <c r="E120" s="3207"/>
      <c r="F120" s="3207">
        <v>4160</v>
      </c>
      <c r="G120" s="3220"/>
    </row>
    <row r="121" spans="1:7" s="3196" customFormat="1" ht="14.25" customHeight="1">
      <c r="A121" s="3207" t="s">
        <v>303</v>
      </c>
      <c r="B121" s="3207" t="s">
        <v>3050</v>
      </c>
      <c r="C121" s="3207"/>
      <c r="D121" s="3207"/>
      <c r="E121" s="3207"/>
      <c r="F121" s="3207">
        <v>3880</v>
      </c>
      <c r="G121" s="3220"/>
    </row>
    <row r="122" spans="1:7" s="3196" customFormat="1" ht="14.25" customHeight="1">
      <c r="A122" s="3207" t="s">
        <v>303</v>
      </c>
      <c r="B122" s="3207" t="s">
        <v>3051</v>
      </c>
      <c r="C122" s="3207">
        <v>13750</v>
      </c>
      <c r="D122" s="3207">
        <v>13680</v>
      </c>
      <c r="E122" s="3207">
        <v>16460</v>
      </c>
      <c r="F122" s="3207">
        <v>2880</v>
      </c>
      <c r="G122" s="3220">
        <v>9040</v>
      </c>
    </row>
    <row r="123" spans="1:7" s="3196" customFormat="1" ht="14.25" customHeight="1">
      <c r="A123" s="3207" t="s">
        <v>303</v>
      </c>
      <c r="B123" s="3207" t="s">
        <v>2982</v>
      </c>
      <c r="C123" s="3207">
        <v>13590</v>
      </c>
      <c r="D123" s="3207">
        <v>13520</v>
      </c>
      <c r="E123" s="3207">
        <v>16290</v>
      </c>
      <c r="F123" s="3207">
        <v>2790</v>
      </c>
      <c r="G123" s="3220">
        <v>8930</v>
      </c>
    </row>
    <row r="124" spans="1:7" s="3196" customFormat="1" ht="14.25" customHeight="1">
      <c r="A124" s="3207" t="s">
        <v>303</v>
      </c>
      <c r="B124" s="3207" t="s">
        <v>2987</v>
      </c>
      <c r="C124" s="3207">
        <v>13400</v>
      </c>
      <c r="D124" s="3207">
        <v>13320</v>
      </c>
      <c r="E124" s="3207">
        <v>16100</v>
      </c>
      <c r="F124" s="3207">
        <v>2320</v>
      </c>
      <c r="G124" s="3220">
        <v>8800</v>
      </c>
    </row>
    <row r="125" spans="1:7" s="3196" customFormat="1" ht="14.25" customHeight="1">
      <c r="A125" s="3207" t="s">
        <v>303</v>
      </c>
      <c r="B125" s="3207" t="s">
        <v>2992</v>
      </c>
      <c r="C125" s="3207">
        <v>12860</v>
      </c>
      <c r="D125" s="3207">
        <v>12790</v>
      </c>
      <c r="E125" s="3207">
        <v>15370</v>
      </c>
      <c r="F125" s="3207">
        <v>2280</v>
      </c>
      <c r="G125" s="3220">
        <v>8450</v>
      </c>
    </row>
    <row r="126" spans="1:7" s="3196" customFormat="1" ht="14.25" customHeight="1" thickBot="1">
      <c r="A126" s="3221" t="s">
        <v>303</v>
      </c>
      <c r="B126" s="3214" t="s">
        <v>2997</v>
      </c>
      <c r="C126" s="3214">
        <v>12960</v>
      </c>
      <c r="D126" s="3214">
        <v>12890</v>
      </c>
      <c r="E126" s="3214">
        <v>15530</v>
      </c>
      <c r="F126" s="3214">
        <v>2910</v>
      </c>
      <c r="G126" s="3222">
        <v>8520</v>
      </c>
    </row>
    <row r="127" spans="1:7" s="3196" customFormat="1" ht="14.25" customHeight="1">
      <c r="A127" s="3212" t="s">
        <v>29</v>
      </c>
      <c r="B127" s="3203" t="s">
        <v>3052</v>
      </c>
      <c r="C127" s="3207">
        <v>12280</v>
      </c>
      <c r="D127" s="3207">
        <v>12250</v>
      </c>
      <c r="E127" s="3207">
        <v>15130</v>
      </c>
      <c r="F127" s="3207">
        <v>2710</v>
      </c>
      <c r="G127" s="3207">
        <v>7870</v>
      </c>
    </row>
    <row r="128" spans="1:7" s="3196" customFormat="1" ht="14.25" customHeight="1">
      <c r="A128" s="3207" t="s">
        <v>29</v>
      </c>
      <c r="B128" s="3207" t="s">
        <v>132</v>
      </c>
      <c r="C128" s="3207">
        <v>13180</v>
      </c>
      <c r="D128" s="3207">
        <v>13150</v>
      </c>
      <c r="E128" s="3207">
        <v>16190</v>
      </c>
      <c r="F128" s="3207">
        <v>2820</v>
      </c>
      <c r="G128" s="3207">
        <v>8460</v>
      </c>
    </row>
    <row r="129" spans="1:7" s="3196" customFormat="1" ht="14.25" customHeight="1">
      <c r="A129" s="3207" t="s">
        <v>29</v>
      </c>
      <c r="B129" s="3207" t="s">
        <v>141</v>
      </c>
      <c r="C129" s="3207">
        <v>10950</v>
      </c>
      <c r="D129" s="3207">
        <v>10920</v>
      </c>
      <c r="E129" s="3207">
        <v>13820</v>
      </c>
      <c r="F129" s="3207">
        <v>2500</v>
      </c>
      <c r="G129" s="3207">
        <v>7020</v>
      </c>
    </row>
    <row r="130" spans="1:7" s="3196" customFormat="1" ht="14.25" customHeight="1">
      <c r="A130" s="3207" t="s">
        <v>29</v>
      </c>
      <c r="B130" s="3207" t="s">
        <v>150</v>
      </c>
      <c r="C130" s="3207">
        <v>10910</v>
      </c>
      <c r="D130" s="3207">
        <v>10860</v>
      </c>
      <c r="E130" s="3207">
        <v>13730</v>
      </c>
      <c r="F130" s="3207">
        <v>2760</v>
      </c>
      <c r="G130" s="3207">
        <v>6990</v>
      </c>
    </row>
    <row r="131" spans="1:7" s="3196" customFormat="1" ht="14.25" customHeight="1">
      <c r="A131" s="3207" t="s">
        <v>29</v>
      </c>
      <c r="B131" s="3207" t="s">
        <v>159</v>
      </c>
      <c r="C131" s="3207">
        <v>12910</v>
      </c>
      <c r="D131" s="3207">
        <v>12870</v>
      </c>
      <c r="E131" s="3207">
        <v>15720</v>
      </c>
      <c r="F131" s="3207">
        <v>2750</v>
      </c>
      <c r="G131" s="3207">
        <v>8280</v>
      </c>
    </row>
    <row r="132" spans="1:7" s="3196" customFormat="1" ht="14.25" customHeight="1">
      <c r="A132" s="3207" t="s">
        <v>29</v>
      </c>
      <c r="B132" s="3207" t="s">
        <v>166</v>
      </c>
      <c r="C132" s="3207">
        <v>11910</v>
      </c>
      <c r="D132" s="3207">
        <v>11860</v>
      </c>
      <c r="E132" s="3207">
        <v>14730</v>
      </c>
      <c r="F132" s="3207">
        <v>2360</v>
      </c>
      <c r="G132" s="3207">
        <v>7630</v>
      </c>
    </row>
    <row r="133" spans="1:7" s="3196" customFormat="1" ht="14.25" customHeight="1">
      <c r="A133" s="3207" t="s">
        <v>29</v>
      </c>
      <c r="B133" s="3207" t="s">
        <v>172</v>
      </c>
      <c r="C133" s="3207">
        <v>12270</v>
      </c>
      <c r="D133" s="3207">
        <v>12210</v>
      </c>
      <c r="E133" s="3207">
        <v>15010</v>
      </c>
      <c r="F133" s="3207">
        <v>2580</v>
      </c>
      <c r="G133" s="3207">
        <v>7860</v>
      </c>
    </row>
    <row r="134" spans="1:7" s="3196" customFormat="1" ht="14.25" customHeight="1">
      <c r="A134" s="3207" t="s">
        <v>29</v>
      </c>
      <c r="B134" s="3207" t="s">
        <v>179</v>
      </c>
      <c r="C134" s="3207">
        <v>10800</v>
      </c>
      <c r="D134" s="3207">
        <v>10780</v>
      </c>
      <c r="E134" s="3207">
        <v>13640</v>
      </c>
      <c r="F134" s="3207">
        <v>2110</v>
      </c>
      <c r="G134" s="3207">
        <v>6930</v>
      </c>
    </row>
    <row r="135" spans="1:7" s="3196" customFormat="1" ht="14.25" customHeight="1">
      <c r="A135" s="3207" t="s">
        <v>29</v>
      </c>
      <c r="B135" s="3207" t="s">
        <v>189</v>
      </c>
      <c r="C135" s="3207">
        <v>10430</v>
      </c>
      <c r="D135" s="3207">
        <v>10390</v>
      </c>
      <c r="E135" s="3207">
        <v>13140</v>
      </c>
      <c r="F135" s="3207">
        <v>2240</v>
      </c>
      <c r="G135" s="3207">
        <v>6680</v>
      </c>
    </row>
    <row r="136" spans="1:7" s="3196" customFormat="1" ht="14.25" customHeight="1">
      <c r="A136" s="3207" t="s">
        <v>29</v>
      </c>
      <c r="B136" s="3207" t="s">
        <v>198</v>
      </c>
      <c r="C136" s="3207">
        <v>11930</v>
      </c>
      <c r="D136" s="3207">
        <v>11880</v>
      </c>
      <c r="E136" s="3207">
        <v>14770</v>
      </c>
      <c r="F136" s="3207">
        <v>1970</v>
      </c>
      <c r="G136" s="3207">
        <v>7640</v>
      </c>
    </row>
    <row r="137" spans="1:7" s="3196" customFormat="1" ht="14.25" customHeight="1">
      <c r="A137" s="3207" t="s">
        <v>29</v>
      </c>
      <c r="B137" s="3207" t="s">
        <v>205</v>
      </c>
      <c r="C137" s="3207">
        <v>10470</v>
      </c>
      <c r="D137" s="3207">
        <v>10430</v>
      </c>
      <c r="E137" s="3207">
        <v>13190</v>
      </c>
      <c r="F137" s="3207">
        <v>1990</v>
      </c>
      <c r="G137" s="3207">
        <v>6710</v>
      </c>
    </row>
    <row r="138" spans="1:7" s="3196" customFormat="1" ht="14.25" customHeight="1">
      <c r="A138" s="3207" t="s">
        <v>29</v>
      </c>
      <c r="B138" s="3207" t="s">
        <v>212</v>
      </c>
      <c r="C138" s="3207">
        <v>10410</v>
      </c>
      <c r="D138" s="3207">
        <v>10380</v>
      </c>
      <c r="E138" s="3207">
        <v>13130</v>
      </c>
      <c r="F138" s="3207">
        <v>2030</v>
      </c>
      <c r="G138" s="3207">
        <v>6680</v>
      </c>
    </row>
    <row r="139" spans="1:7" s="3196" customFormat="1" ht="14.25" customHeight="1">
      <c r="A139" s="3207" t="s">
        <v>29</v>
      </c>
      <c r="B139" s="3207" t="s">
        <v>218</v>
      </c>
      <c r="C139" s="3207">
        <v>9460</v>
      </c>
      <c r="D139" s="3207">
        <v>9410</v>
      </c>
      <c r="E139" s="3207">
        <v>12050</v>
      </c>
      <c r="F139" s="3207">
        <v>2140</v>
      </c>
      <c r="G139" s="3207">
        <v>6050</v>
      </c>
    </row>
    <row r="140" spans="1:7" s="3196" customFormat="1" ht="14.25" customHeight="1">
      <c r="A140" s="3207" t="s">
        <v>29</v>
      </c>
      <c r="B140" s="3207" t="s">
        <v>226</v>
      </c>
      <c r="C140" s="3207">
        <v>11030</v>
      </c>
      <c r="D140" s="3207">
        <v>10980</v>
      </c>
      <c r="E140" s="3207">
        <v>13880</v>
      </c>
      <c r="F140" s="3207">
        <v>2210</v>
      </c>
      <c r="G140" s="3207">
        <v>7060</v>
      </c>
    </row>
    <row r="141" spans="1:7" s="3196" customFormat="1" ht="14.25" customHeight="1">
      <c r="A141" s="3207" t="s">
        <v>29</v>
      </c>
      <c r="B141" s="3207" t="s">
        <v>234</v>
      </c>
      <c r="C141" s="3207">
        <v>11200</v>
      </c>
      <c r="D141" s="3207">
        <v>11150</v>
      </c>
      <c r="E141" s="3207">
        <v>14100</v>
      </c>
      <c r="F141" s="3207">
        <v>2470</v>
      </c>
      <c r="G141" s="3207">
        <v>7170</v>
      </c>
    </row>
    <row r="142" spans="1:7" s="3196" customFormat="1" ht="14.25" customHeight="1">
      <c r="A142" s="3207" t="s">
        <v>29</v>
      </c>
      <c r="B142" s="3207" t="s">
        <v>239</v>
      </c>
      <c r="C142" s="3207">
        <v>10780</v>
      </c>
      <c r="D142" s="3207">
        <v>10730</v>
      </c>
      <c r="E142" s="3207">
        <v>13540</v>
      </c>
      <c r="F142" s="3207">
        <v>2280</v>
      </c>
      <c r="G142" s="3207">
        <v>6900</v>
      </c>
    </row>
    <row r="143" spans="1:7" s="3196" customFormat="1" ht="14.25" customHeight="1">
      <c r="A143" s="3207" t="s">
        <v>29</v>
      </c>
      <c r="B143" s="3207" t="s">
        <v>248</v>
      </c>
      <c r="C143" s="3207">
        <v>11550</v>
      </c>
      <c r="D143" s="3207">
        <v>11490</v>
      </c>
      <c r="E143" s="3207">
        <v>14480</v>
      </c>
      <c r="F143" s="3207">
        <v>2070</v>
      </c>
      <c r="G143" s="3207">
        <v>7390</v>
      </c>
    </row>
    <row r="144" spans="1:7" s="3196" customFormat="1" ht="14.25" customHeight="1">
      <c r="A144" s="3207" t="s">
        <v>29</v>
      </c>
      <c r="B144" s="3207" t="s">
        <v>255</v>
      </c>
      <c r="C144" s="3207">
        <v>10720</v>
      </c>
      <c r="D144" s="3207">
        <v>10680</v>
      </c>
      <c r="E144" s="3207">
        <v>13480</v>
      </c>
      <c r="F144" s="3207">
        <v>2440</v>
      </c>
      <c r="G144" s="3207">
        <v>6870</v>
      </c>
    </row>
    <row r="145" spans="1:7" s="3196" customFormat="1" ht="14.25" customHeight="1">
      <c r="A145" s="3207" t="s">
        <v>29</v>
      </c>
      <c r="B145" s="3207" t="s">
        <v>263</v>
      </c>
      <c r="C145" s="3207">
        <v>10340</v>
      </c>
      <c r="D145" s="3207">
        <v>10290</v>
      </c>
      <c r="E145" s="3207">
        <v>12880</v>
      </c>
      <c r="F145" s="3207">
        <v>2650</v>
      </c>
      <c r="G145" s="3207">
        <v>6620</v>
      </c>
    </row>
    <row r="146" spans="1:7" s="3196" customFormat="1" ht="14.25" customHeight="1">
      <c r="A146" s="3207" t="s">
        <v>29</v>
      </c>
      <c r="B146" s="3207" t="s">
        <v>270</v>
      </c>
      <c r="C146" s="3207">
        <v>11890</v>
      </c>
      <c r="D146" s="3207">
        <v>11830</v>
      </c>
      <c r="E146" s="3207">
        <v>14670</v>
      </c>
      <c r="F146" s="3207"/>
      <c r="G146" s="3207">
        <v>7610</v>
      </c>
    </row>
    <row r="147" spans="1:7" s="3196" customFormat="1" ht="14.25" customHeight="1">
      <c r="A147" s="3207" t="s">
        <v>29</v>
      </c>
      <c r="B147" s="3207" t="s">
        <v>274</v>
      </c>
      <c r="C147" s="3207">
        <v>12650</v>
      </c>
      <c r="D147" s="3207">
        <v>12600</v>
      </c>
      <c r="E147" s="3207">
        <v>15440</v>
      </c>
      <c r="F147" s="3207"/>
      <c r="G147" s="3207">
        <v>8110</v>
      </c>
    </row>
    <row r="148" spans="1:7" s="3196" customFormat="1" ht="14.25" customHeight="1">
      <c r="A148" s="3207" t="s">
        <v>29</v>
      </c>
      <c r="B148" s="3207" t="s">
        <v>3053</v>
      </c>
      <c r="C148" s="3207">
        <v>10370</v>
      </c>
      <c r="D148" s="3207">
        <v>10310</v>
      </c>
      <c r="E148" s="3207">
        <v>12970</v>
      </c>
      <c r="F148" s="3207"/>
      <c r="G148" s="3207">
        <v>6630</v>
      </c>
    </row>
    <row r="149" spans="1:7" s="3196" customFormat="1" ht="14.25" customHeight="1">
      <c r="A149" s="3207" t="s">
        <v>29</v>
      </c>
      <c r="B149" s="3207" t="s">
        <v>3054</v>
      </c>
      <c r="C149" s="3207">
        <v>11600</v>
      </c>
      <c r="D149" s="3207">
        <v>11560</v>
      </c>
      <c r="E149" s="3207">
        <v>14540</v>
      </c>
      <c r="F149" s="3207">
        <v>2390</v>
      </c>
      <c r="G149" s="3207">
        <v>7430</v>
      </c>
    </row>
    <row r="150" spans="1:7" s="3196" customFormat="1" ht="14.25" customHeight="1">
      <c r="A150" s="3207" t="s">
        <v>29</v>
      </c>
      <c r="B150" s="3207" t="s">
        <v>292</v>
      </c>
      <c r="C150" s="3207">
        <v>9950</v>
      </c>
      <c r="D150" s="3207">
        <v>9890</v>
      </c>
      <c r="E150" s="3207">
        <v>12590</v>
      </c>
      <c r="F150" s="3207">
        <v>1970</v>
      </c>
      <c r="G150" s="3207">
        <v>6360</v>
      </c>
    </row>
    <row r="151" spans="1:7" s="3196" customFormat="1" ht="14.25" customHeight="1">
      <c r="A151" s="3207" t="s">
        <v>29</v>
      </c>
      <c r="B151" s="3207" t="s">
        <v>294</v>
      </c>
      <c r="C151" s="3207">
        <v>10700</v>
      </c>
      <c r="D151" s="3207">
        <v>10650</v>
      </c>
      <c r="E151" s="3207">
        <v>13420</v>
      </c>
      <c r="F151" s="3207">
        <v>2020</v>
      </c>
      <c r="G151" s="3207">
        <v>6850</v>
      </c>
    </row>
    <row r="152" spans="1:7" s="3196" customFormat="1" ht="14.25" customHeight="1">
      <c r="A152" s="3207" t="s">
        <v>29</v>
      </c>
      <c r="B152" s="3207" t="s">
        <v>297</v>
      </c>
      <c r="C152" s="3207">
        <v>10310</v>
      </c>
      <c r="D152" s="3207">
        <v>10260</v>
      </c>
      <c r="E152" s="3207">
        <v>12820</v>
      </c>
      <c r="F152" s="3207">
        <v>1980</v>
      </c>
      <c r="G152" s="3207">
        <v>6600</v>
      </c>
    </row>
    <row r="153" spans="1:7" s="3196" customFormat="1" ht="14.25" customHeight="1">
      <c r="A153" s="3207" t="s">
        <v>29</v>
      </c>
      <c r="B153" s="3207" t="s">
        <v>2928</v>
      </c>
      <c r="C153" s="3207">
        <v>10880</v>
      </c>
      <c r="D153" s="3207">
        <v>10820</v>
      </c>
      <c r="E153" s="3207">
        <v>13660</v>
      </c>
      <c r="F153" s="3207">
        <v>2260</v>
      </c>
      <c r="G153" s="3207">
        <v>6970</v>
      </c>
    </row>
    <row r="154" spans="1:7" s="3196" customFormat="1" ht="14.25" customHeight="1">
      <c r="A154" s="3207" t="s">
        <v>29</v>
      </c>
      <c r="B154" s="3207" t="s">
        <v>3055</v>
      </c>
      <c r="C154" s="3207">
        <v>11220</v>
      </c>
      <c r="D154" s="3207">
        <v>11160</v>
      </c>
      <c r="E154" s="3207">
        <v>14130</v>
      </c>
      <c r="F154" s="3207">
        <v>2230</v>
      </c>
      <c r="G154" s="3207">
        <v>7180</v>
      </c>
    </row>
    <row r="155" spans="1:7" s="3196" customFormat="1" ht="14.25" customHeight="1">
      <c r="A155" s="3207" t="s">
        <v>29</v>
      </c>
      <c r="B155" s="3207" t="s">
        <v>2941</v>
      </c>
      <c r="C155" s="3207">
        <v>10430</v>
      </c>
      <c r="D155" s="3207">
        <v>10380</v>
      </c>
      <c r="E155" s="3207">
        <v>13140</v>
      </c>
      <c r="F155" s="3207">
        <v>2080</v>
      </c>
      <c r="G155" s="3207">
        <v>6650</v>
      </c>
    </row>
    <row r="156" spans="1:7" s="3196" customFormat="1" ht="14.25" customHeight="1">
      <c r="A156" s="3207" t="s">
        <v>29</v>
      </c>
      <c r="B156" s="3207" t="s">
        <v>3056</v>
      </c>
      <c r="C156" s="3207">
        <v>10440</v>
      </c>
      <c r="D156" s="3207">
        <v>10400</v>
      </c>
      <c r="E156" s="3207">
        <v>13150</v>
      </c>
      <c r="F156" s="3207">
        <v>2490</v>
      </c>
      <c r="G156" s="3207">
        <v>6690</v>
      </c>
    </row>
    <row r="157" spans="1:7" s="3196" customFormat="1" ht="14.25" customHeight="1">
      <c r="A157" s="3207" t="s">
        <v>29</v>
      </c>
      <c r="B157" s="3207" t="s">
        <v>300</v>
      </c>
      <c r="C157" s="3207">
        <v>10970</v>
      </c>
      <c r="D157" s="3207">
        <v>10920</v>
      </c>
      <c r="E157" s="3207">
        <v>13840</v>
      </c>
      <c r="F157" s="3207">
        <v>2420</v>
      </c>
      <c r="G157" s="3207">
        <v>7020</v>
      </c>
    </row>
    <row r="158" spans="1:7" s="3196" customFormat="1" ht="14.25" customHeight="1">
      <c r="A158" s="3207" t="s">
        <v>29</v>
      </c>
      <c r="B158" s="3207" t="s">
        <v>301</v>
      </c>
      <c r="C158" s="3207">
        <v>9590</v>
      </c>
      <c r="D158" s="3207">
        <v>9540</v>
      </c>
      <c r="E158" s="3207">
        <v>12210</v>
      </c>
      <c r="F158" s="3207">
        <v>2100</v>
      </c>
      <c r="G158" s="3207">
        <v>6130</v>
      </c>
    </row>
    <row r="159" spans="1:7" s="3196" customFormat="1" ht="14.25" customHeight="1">
      <c r="A159" s="3207" t="s">
        <v>29</v>
      </c>
      <c r="B159" s="3207" t="s">
        <v>302</v>
      </c>
      <c r="C159" s="3207">
        <v>11190</v>
      </c>
      <c r="D159" s="3207">
        <v>11140</v>
      </c>
      <c r="E159" s="3207">
        <v>14090</v>
      </c>
      <c r="F159" s="3207">
        <v>2470</v>
      </c>
      <c r="G159" s="3207">
        <v>7170</v>
      </c>
    </row>
    <row r="160" spans="1:7" s="3196" customFormat="1" ht="14.25" customHeight="1">
      <c r="A160" s="3207" t="s">
        <v>29</v>
      </c>
      <c r="B160" s="3207" t="s">
        <v>3057</v>
      </c>
      <c r="C160" s="3207">
        <v>11180</v>
      </c>
      <c r="D160" s="3207">
        <v>11140</v>
      </c>
      <c r="E160" s="3207">
        <v>14050</v>
      </c>
      <c r="F160" s="3207">
        <v>2270</v>
      </c>
      <c r="G160" s="3207">
        <v>7170</v>
      </c>
    </row>
    <row r="161" spans="1:7" s="3196" customFormat="1" ht="14.25" customHeight="1">
      <c r="A161" s="3207" t="s">
        <v>29</v>
      </c>
      <c r="B161" s="3207" t="s">
        <v>2973</v>
      </c>
      <c r="C161" s="3207">
        <v>11160</v>
      </c>
      <c r="D161" s="3207">
        <v>11120</v>
      </c>
      <c r="E161" s="3207">
        <v>14020</v>
      </c>
      <c r="F161" s="3207">
        <v>2150</v>
      </c>
      <c r="G161" s="3207">
        <v>7160</v>
      </c>
    </row>
    <row r="162" spans="1:7" s="3196" customFormat="1" ht="14.25" customHeight="1">
      <c r="A162" s="3207" t="s">
        <v>29</v>
      </c>
      <c r="B162" s="3207" t="s">
        <v>2978</v>
      </c>
      <c r="C162" s="3207">
        <v>9620</v>
      </c>
      <c r="D162" s="3207">
        <v>9570</v>
      </c>
      <c r="E162" s="3207">
        <v>12320</v>
      </c>
      <c r="F162" s="3207">
        <v>2010</v>
      </c>
      <c r="G162" s="3207">
        <v>6160</v>
      </c>
    </row>
    <row r="163" spans="1:7" s="3196" customFormat="1" ht="14.25" customHeight="1">
      <c r="A163" s="3207" t="s">
        <v>29</v>
      </c>
      <c r="B163" s="3207" t="s">
        <v>2983</v>
      </c>
      <c r="C163" s="3207">
        <v>9320</v>
      </c>
      <c r="D163" s="3207">
        <v>9270</v>
      </c>
      <c r="E163" s="3207">
        <v>11790</v>
      </c>
      <c r="F163" s="3207">
        <v>1920</v>
      </c>
      <c r="G163" s="3207">
        <v>5960</v>
      </c>
    </row>
    <row r="164" spans="1:7" s="3196" customFormat="1" ht="14.25" customHeight="1">
      <c r="A164" s="3207" t="s">
        <v>29</v>
      </c>
      <c r="B164" s="3207" t="s">
        <v>2988</v>
      </c>
      <c r="C164" s="3207"/>
      <c r="D164" s="3207"/>
      <c r="E164" s="3207"/>
      <c r="F164" s="3207">
        <v>1980</v>
      </c>
      <c r="G164" s="3207"/>
    </row>
    <row r="165" spans="1:7" s="3196" customFormat="1" ht="14.25" customHeight="1">
      <c r="A165" s="3207" t="s">
        <v>29</v>
      </c>
      <c r="B165" s="3207" t="s">
        <v>3058</v>
      </c>
      <c r="C165" s="3207">
        <v>11060</v>
      </c>
      <c r="D165" s="3207">
        <v>11030</v>
      </c>
      <c r="E165" s="3207">
        <v>13850</v>
      </c>
      <c r="F165" s="3207">
        <v>2170</v>
      </c>
      <c r="G165" s="3207">
        <v>7090</v>
      </c>
    </row>
    <row r="166" spans="1:7" s="3196" customFormat="1" ht="14.25" customHeight="1">
      <c r="A166" s="3207" t="s">
        <v>29</v>
      </c>
      <c r="B166" s="3207" t="s">
        <v>2998</v>
      </c>
      <c r="C166" s="3207">
        <v>11050</v>
      </c>
      <c r="D166" s="3207">
        <v>11010</v>
      </c>
      <c r="E166" s="3207">
        <v>13920</v>
      </c>
      <c r="F166" s="3207">
        <v>2140</v>
      </c>
      <c r="G166" s="3207">
        <v>7080</v>
      </c>
    </row>
    <row r="167" spans="1:7" s="3196" customFormat="1" ht="14.25" customHeight="1">
      <c r="A167" s="3207" t="s">
        <v>29</v>
      </c>
      <c r="B167" s="3207" t="s">
        <v>3002</v>
      </c>
      <c r="C167" s="3207">
        <v>10930</v>
      </c>
      <c r="D167" s="3207">
        <v>10890</v>
      </c>
      <c r="E167" s="3207">
        <v>13790</v>
      </c>
      <c r="F167" s="3207">
        <v>2010</v>
      </c>
      <c r="G167" s="3207">
        <v>7000</v>
      </c>
    </row>
    <row r="168" spans="1:7" s="3196" customFormat="1" ht="14.25" customHeight="1">
      <c r="A168" s="3207" t="s">
        <v>29</v>
      </c>
      <c r="B168" s="3207" t="s">
        <v>3007</v>
      </c>
      <c r="C168" s="3207">
        <v>9420</v>
      </c>
      <c r="D168" s="3207">
        <v>9380</v>
      </c>
      <c r="E168" s="3207">
        <v>11970</v>
      </c>
      <c r="F168" s="3207"/>
      <c r="G168" s="3207">
        <v>6040</v>
      </c>
    </row>
    <row r="169" spans="1:7" s="3196" customFormat="1" ht="14.25" customHeight="1">
      <c r="A169" s="3207" t="s">
        <v>29</v>
      </c>
      <c r="B169" s="3207" t="s">
        <v>3059</v>
      </c>
      <c r="C169" s="3207"/>
      <c r="D169" s="3207"/>
      <c r="E169" s="3207"/>
      <c r="F169" s="3207">
        <v>2880</v>
      </c>
      <c r="G169" s="3207"/>
    </row>
    <row r="170" spans="1:7" s="3196" customFormat="1" ht="14.25" customHeight="1">
      <c r="A170" s="3207" t="s">
        <v>29</v>
      </c>
      <c r="B170" s="3207" t="s">
        <v>3015</v>
      </c>
      <c r="C170" s="3207"/>
      <c r="D170" s="3207"/>
      <c r="E170" s="3207"/>
      <c r="F170" s="3207">
        <v>2880</v>
      </c>
      <c r="G170" s="3207"/>
    </row>
    <row r="171" spans="1:7" s="3196" customFormat="1" ht="14.25" customHeight="1">
      <c r="A171" s="3207" t="s">
        <v>29</v>
      </c>
      <c r="B171" s="3207" t="s">
        <v>3018</v>
      </c>
      <c r="C171" s="3207"/>
      <c r="D171" s="3207"/>
      <c r="E171" s="3207"/>
      <c r="F171" s="3207">
        <v>2880</v>
      </c>
      <c r="G171" s="3207"/>
    </row>
    <row r="172" spans="1:7" s="3196" customFormat="1" ht="14.25" customHeight="1">
      <c r="A172" s="3207" t="s">
        <v>29</v>
      </c>
      <c r="B172" s="3207" t="s">
        <v>3020</v>
      </c>
      <c r="C172" s="3207"/>
      <c r="D172" s="3207"/>
      <c r="E172" s="3207"/>
      <c r="F172" s="3207">
        <v>2880</v>
      </c>
      <c r="G172" s="3207"/>
    </row>
    <row r="173" spans="1:7" s="3196" customFormat="1" ht="14.25" customHeight="1">
      <c r="A173" s="3207" t="s">
        <v>29</v>
      </c>
      <c r="B173" s="3207" t="s">
        <v>3022</v>
      </c>
      <c r="C173" s="3207"/>
      <c r="D173" s="3207"/>
      <c r="E173" s="3207"/>
      <c r="F173" s="3207">
        <v>2150</v>
      </c>
      <c r="G173" s="3207"/>
    </row>
    <row r="174" spans="1:7" s="3196" customFormat="1" ht="14.25" customHeight="1">
      <c r="A174" s="3207" t="s">
        <v>29</v>
      </c>
      <c r="B174" s="3207" t="s">
        <v>3024</v>
      </c>
      <c r="C174" s="3207"/>
      <c r="D174" s="3207"/>
      <c r="E174" s="3207"/>
      <c r="F174" s="3207">
        <v>2030</v>
      </c>
      <c r="G174" s="3207"/>
    </row>
    <row r="175" spans="1:7" s="3196" customFormat="1" ht="14.25" customHeight="1">
      <c r="A175" s="3207" t="s">
        <v>29</v>
      </c>
      <c r="B175" s="3207" t="s">
        <v>3026</v>
      </c>
      <c r="C175" s="3207"/>
      <c r="D175" s="3207"/>
      <c r="E175" s="3207"/>
      <c r="F175" s="3207">
        <v>2780</v>
      </c>
      <c r="G175" s="3207"/>
    </row>
    <row r="176" spans="1:7" s="3196" customFormat="1" ht="14.25" customHeight="1">
      <c r="A176" s="3207" t="s">
        <v>29</v>
      </c>
      <c r="B176" s="3207" t="s">
        <v>3028</v>
      </c>
      <c r="C176" s="3207"/>
      <c r="D176" s="3207"/>
      <c r="E176" s="3207"/>
      <c r="F176" s="3207">
        <v>2780</v>
      </c>
      <c r="G176" s="3207"/>
    </row>
    <row r="177" spans="1:7" s="3196" customFormat="1" ht="14.25" customHeight="1">
      <c r="A177" s="3207" t="s">
        <v>29</v>
      </c>
      <c r="B177" s="3207" t="s">
        <v>3060</v>
      </c>
      <c r="C177" s="3207"/>
      <c r="D177" s="3207"/>
      <c r="E177" s="3207"/>
      <c r="F177" s="3207">
        <v>2780</v>
      </c>
      <c r="G177" s="3207"/>
    </row>
    <row r="178" spans="1:7" s="3196" customFormat="1" ht="14.25" customHeight="1">
      <c r="A178" s="3207" t="s">
        <v>29</v>
      </c>
      <c r="B178" s="3207" t="s">
        <v>3061</v>
      </c>
      <c r="C178" s="3207"/>
      <c r="D178" s="3207"/>
      <c r="E178" s="3207"/>
      <c r="F178" s="3207">
        <v>2060</v>
      </c>
      <c r="G178" s="3207"/>
    </row>
    <row r="179" spans="1:7" s="3196" customFormat="1" ht="14.25" customHeight="1">
      <c r="A179" s="3207" t="s">
        <v>29</v>
      </c>
      <c r="B179" s="3207" t="s">
        <v>3062</v>
      </c>
      <c r="C179" s="3207"/>
      <c r="D179" s="3207"/>
      <c r="E179" s="3207"/>
      <c r="F179" s="3207">
        <v>2120</v>
      </c>
      <c r="G179" s="3207"/>
    </row>
    <row r="180" spans="1:7" s="3196" customFormat="1" ht="14.25" customHeight="1">
      <c r="A180" s="3207" t="s">
        <v>29</v>
      </c>
      <c r="B180" s="3207" t="s">
        <v>3034</v>
      </c>
      <c r="C180" s="3207"/>
      <c r="D180" s="3207"/>
      <c r="E180" s="3207"/>
      <c r="F180" s="3207">
        <v>2340</v>
      </c>
      <c r="G180" s="3207"/>
    </row>
    <row r="181" spans="1:7" s="3196" customFormat="1" ht="14.25" customHeight="1">
      <c r="A181" s="3207" t="s">
        <v>29</v>
      </c>
      <c r="B181" s="3207" t="s">
        <v>3035</v>
      </c>
      <c r="C181" s="3207"/>
      <c r="D181" s="3207"/>
      <c r="E181" s="3207"/>
      <c r="F181" s="3207">
        <v>2340</v>
      </c>
      <c r="G181" s="3207"/>
    </row>
    <row r="182" spans="1:7" s="3196" customFormat="1" ht="14.25" customHeight="1">
      <c r="A182" s="3207" t="s">
        <v>29</v>
      </c>
      <c r="B182" s="3207" t="s">
        <v>3036</v>
      </c>
      <c r="C182" s="3207"/>
      <c r="D182" s="3207"/>
      <c r="E182" s="3207"/>
      <c r="F182" s="3207">
        <v>2340</v>
      </c>
      <c r="G182" s="3207"/>
    </row>
    <row r="183" spans="1:7" s="3196" customFormat="1" ht="14.25" customHeight="1">
      <c r="A183" s="3207" t="s">
        <v>29</v>
      </c>
      <c r="B183" s="3207" t="s">
        <v>3037</v>
      </c>
      <c r="C183" s="3207"/>
      <c r="D183" s="3207"/>
      <c r="E183" s="3207"/>
      <c r="F183" s="3207">
        <v>2340</v>
      </c>
      <c r="G183" s="3207"/>
    </row>
    <row r="184" spans="1:7" s="3196" customFormat="1" ht="14.25" customHeight="1">
      <c r="A184" s="3207" t="s">
        <v>29</v>
      </c>
      <c r="B184" s="3207" t="s">
        <v>3038</v>
      </c>
      <c r="C184" s="3207"/>
      <c r="D184" s="3207"/>
      <c r="E184" s="3207"/>
      <c r="F184" s="3207">
        <v>2340</v>
      </c>
      <c r="G184" s="3207"/>
    </row>
    <row r="185" spans="1:7" s="3196" customFormat="1" ht="14.25" customHeight="1">
      <c r="A185" s="3207" t="s">
        <v>29</v>
      </c>
      <c r="B185" s="3207" t="s">
        <v>3039</v>
      </c>
      <c r="C185" s="3207"/>
      <c r="D185" s="3207"/>
      <c r="E185" s="3207"/>
      <c r="F185" s="3207">
        <v>2530</v>
      </c>
      <c r="G185" s="3207"/>
    </row>
    <row r="186" spans="1:7" s="3196" customFormat="1" ht="14.25" customHeight="1">
      <c r="A186" s="3207" t="s">
        <v>29</v>
      </c>
      <c r="B186" s="3207" t="s">
        <v>3040</v>
      </c>
      <c r="C186" s="3207"/>
      <c r="D186" s="3207"/>
      <c r="E186" s="3207"/>
      <c r="F186" s="3207">
        <v>2550</v>
      </c>
      <c r="G186" s="3207"/>
    </row>
    <row r="187" spans="1:7" s="3196" customFormat="1" ht="14.25" customHeight="1">
      <c r="A187" s="3207" t="s">
        <v>29</v>
      </c>
      <c r="B187" s="3207" t="s">
        <v>3041</v>
      </c>
      <c r="C187" s="3207"/>
      <c r="D187" s="3207"/>
      <c r="E187" s="3207"/>
      <c r="F187" s="3207">
        <v>2070</v>
      </c>
      <c r="G187" s="3207"/>
    </row>
    <row r="188" spans="1:7" s="3196" customFormat="1" ht="14.25" customHeight="1">
      <c r="A188" s="3207" t="s">
        <v>29</v>
      </c>
      <c r="B188" s="3207" t="s">
        <v>3042</v>
      </c>
      <c r="C188" s="3207"/>
      <c r="D188" s="3207"/>
      <c r="E188" s="3207"/>
      <c r="F188" s="3207">
        <v>2340</v>
      </c>
      <c r="G188" s="3207"/>
    </row>
    <row r="189" spans="1:7" s="3196" customFormat="1" ht="14.25" customHeight="1" thickBot="1">
      <c r="A189" s="3215" t="s">
        <v>29</v>
      </c>
      <c r="B189" s="3218" t="s">
        <v>3043</v>
      </c>
      <c r="C189" s="3218"/>
      <c r="D189" s="3218"/>
      <c r="E189" s="3218"/>
      <c r="F189" s="3218">
        <v>2050</v>
      </c>
      <c r="G189" s="3218"/>
    </row>
    <row r="190" spans="1:7" s="3196" customFormat="1" ht="14.25" customHeight="1">
      <c r="A190" s="3212" t="s">
        <v>304</v>
      </c>
      <c r="B190" s="3203" t="s">
        <v>3063</v>
      </c>
      <c r="C190" s="3203">
        <v>8830</v>
      </c>
      <c r="D190" s="3203">
        <v>8790</v>
      </c>
      <c r="E190" s="3203">
        <v>11630</v>
      </c>
      <c r="F190" s="3203">
        <v>1790</v>
      </c>
      <c r="G190" s="3219">
        <v>5550</v>
      </c>
    </row>
    <row r="191" spans="1:7" s="3196" customFormat="1" ht="14.25" customHeight="1">
      <c r="A191" s="3207" t="s">
        <v>304</v>
      </c>
      <c r="B191" s="3207" t="s">
        <v>133</v>
      </c>
      <c r="C191" s="3207">
        <v>9780</v>
      </c>
      <c r="D191" s="3207">
        <v>9710</v>
      </c>
      <c r="E191" s="3207">
        <v>12550</v>
      </c>
      <c r="F191" s="3207">
        <v>1980</v>
      </c>
      <c r="G191" s="3220">
        <v>6130</v>
      </c>
    </row>
    <row r="192" spans="1:7" s="3196" customFormat="1" ht="14.25" customHeight="1">
      <c r="A192" s="3207" t="s">
        <v>304</v>
      </c>
      <c r="B192" s="3207" t="s">
        <v>142</v>
      </c>
      <c r="C192" s="3207">
        <v>8180</v>
      </c>
      <c r="D192" s="3207">
        <v>8140</v>
      </c>
      <c r="E192" s="3207">
        <v>10870</v>
      </c>
      <c r="F192" s="3207">
        <v>1690</v>
      </c>
      <c r="G192" s="3220">
        <v>5140</v>
      </c>
    </row>
    <row r="193" spans="1:7" s="3196" customFormat="1" ht="14.25" customHeight="1">
      <c r="A193" s="3207" t="s">
        <v>304</v>
      </c>
      <c r="B193" s="3207" t="s">
        <v>151</v>
      </c>
      <c r="C193" s="3207">
        <v>8440</v>
      </c>
      <c r="D193" s="3207">
        <v>8390</v>
      </c>
      <c r="E193" s="3207">
        <v>11210</v>
      </c>
      <c r="F193" s="3207">
        <v>1600</v>
      </c>
      <c r="G193" s="3220">
        <v>5300</v>
      </c>
    </row>
    <row r="194" spans="1:7" s="3196" customFormat="1" ht="14.25" customHeight="1">
      <c r="A194" s="3207" t="s">
        <v>304</v>
      </c>
      <c r="B194" s="3207" t="s">
        <v>160</v>
      </c>
      <c r="C194" s="3207">
        <v>8780</v>
      </c>
      <c r="D194" s="3207">
        <v>8730</v>
      </c>
      <c r="E194" s="3207">
        <v>11550</v>
      </c>
      <c r="F194" s="3207">
        <v>1660</v>
      </c>
      <c r="G194" s="3220">
        <v>5520</v>
      </c>
    </row>
    <row r="195" spans="1:7" s="3196" customFormat="1" ht="14.25" customHeight="1">
      <c r="A195" s="3207" t="s">
        <v>304</v>
      </c>
      <c r="B195" s="3207" t="s">
        <v>167</v>
      </c>
      <c r="C195" s="3207">
        <v>8720</v>
      </c>
      <c r="D195" s="3207">
        <v>8670</v>
      </c>
      <c r="E195" s="3207">
        <v>11450</v>
      </c>
      <c r="F195" s="3207">
        <v>1720</v>
      </c>
      <c r="G195" s="3220">
        <v>5480</v>
      </c>
    </row>
    <row r="196" spans="1:7" s="3196" customFormat="1" ht="14.25" customHeight="1">
      <c r="A196" s="3207" t="s">
        <v>304</v>
      </c>
      <c r="B196" s="3207" t="s">
        <v>173</v>
      </c>
      <c r="C196" s="3207">
        <v>8460</v>
      </c>
      <c r="D196" s="3207">
        <v>8410</v>
      </c>
      <c r="E196" s="3207">
        <v>11230</v>
      </c>
      <c r="F196" s="3207">
        <v>1730</v>
      </c>
      <c r="G196" s="3220">
        <v>5310</v>
      </c>
    </row>
    <row r="197" spans="1:7" s="3196" customFormat="1" ht="14.25" customHeight="1">
      <c r="A197" s="3207" t="s">
        <v>304</v>
      </c>
      <c r="B197" s="3207" t="s">
        <v>180</v>
      </c>
      <c r="C197" s="3207">
        <v>8790</v>
      </c>
      <c r="D197" s="3207">
        <v>8730</v>
      </c>
      <c r="E197" s="3207">
        <v>11560</v>
      </c>
      <c r="F197" s="3207">
        <v>1750</v>
      </c>
      <c r="G197" s="3220">
        <v>5520</v>
      </c>
    </row>
    <row r="198" spans="1:7" s="3196" customFormat="1" ht="14.25" customHeight="1">
      <c r="A198" s="3207" t="s">
        <v>304</v>
      </c>
      <c r="B198" s="3207" t="s">
        <v>190</v>
      </c>
      <c r="C198" s="3207">
        <v>8720</v>
      </c>
      <c r="D198" s="3207">
        <v>8680</v>
      </c>
      <c r="E198" s="3207">
        <v>11470</v>
      </c>
      <c r="F198" s="3207"/>
      <c r="G198" s="3220">
        <v>5480</v>
      </c>
    </row>
    <row r="199" spans="1:7" s="3196" customFormat="1" ht="14.25" customHeight="1">
      <c r="A199" s="3207" t="s">
        <v>304</v>
      </c>
      <c r="B199" s="3207" t="s">
        <v>3064</v>
      </c>
      <c r="C199" s="3207">
        <v>8690</v>
      </c>
      <c r="D199" s="3207">
        <v>8630</v>
      </c>
      <c r="E199" s="3207">
        <v>11350</v>
      </c>
      <c r="F199" s="3207">
        <v>1600</v>
      </c>
      <c r="G199" s="3220">
        <v>5450</v>
      </c>
    </row>
    <row r="200" spans="1:7" s="3196" customFormat="1" ht="14.25" customHeight="1">
      <c r="A200" s="3207" t="s">
        <v>304</v>
      </c>
      <c r="B200" s="3207" t="s">
        <v>2875</v>
      </c>
      <c r="C200" s="3207"/>
      <c r="D200" s="3207"/>
      <c r="E200" s="3207"/>
      <c r="F200" s="3207">
        <v>1510</v>
      </c>
      <c r="G200" s="3220"/>
    </row>
    <row r="201" spans="1:7" s="3196" customFormat="1" ht="14.25" customHeight="1">
      <c r="A201" s="3207" t="s">
        <v>304</v>
      </c>
      <c r="B201" s="3207" t="s">
        <v>3065</v>
      </c>
      <c r="C201" s="3207">
        <v>8440</v>
      </c>
      <c r="D201" s="3207">
        <v>8390</v>
      </c>
      <c r="E201" s="3207">
        <v>10930</v>
      </c>
      <c r="F201" s="3207">
        <v>1500</v>
      </c>
      <c r="G201" s="3220">
        <v>5300</v>
      </c>
    </row>
    <row r="202" spans="1:7" s="3196" customFormat="1" ht="14.25" customHeight="1">
      <c r="A202" s="3207" t="s">
        <v>304</v>
      </c>
      <c r="B202" s="3207" t="s">
        <v>240</v>
      </c>
      <c r="C202" s="3207">
        <v>8530</v>
      </c>
      <c r="D202" s="3207">
        <v>8490</v>
      </c>
      <c r="E202" s="3207">
        <v>11160</v>
      </c>
      <c r="F202" s="3207">
        <v>1580</v>
      </c>
      <c r="G202" s="3220">
        <v>5360</v>
      </c>
    </row>
    <row r="203" spans="1:7" s="3196" customFormat="1" ht="14.25" customHeight="1">
      <c r="A203" s="3207" t="s">
        <v>304</v>
      </c>
      <c r="B203" s="3207" t="s">
        <v>3066</v>
      </c>
      <c r="C203" s="3207">
        <v>8130</v>
      </c>
      <c r="D203" s="3207">
        <v>8070</v>
      </c>
      <c r="E203" s="3207">
        <v>10820</v>
      </c>
      <c r="F203" s="3207">
        <v>1690</v>
      </c>
      <c r="G203" s="3220">
        <v>5100</v>
      </c>
    </row>
    <row r="204" spans="1:7" s="3196" customFormat="1" ht="14.25" customHeight="1">
      <c r="A204" s="3207" t="s">
        <v>304</v>
      </c>
      <c r="B204" s="3207" t="s">
        <v>2886</v>
      </c>
      <c r="C204" s="3207">
        <v>8350</v>
      </c>
      <c r="D204" s="3207">
        <v>8290</v>
      </c>
      <c r="E204" s="3207">
        <v>11080</v>
      </c>
      <c r="F204" s="3207">
        <v>1450</v>
      </c>
      <c r="G204" s="3220">
        <v>5240</v>
      </c>
    </row>
    <row r="205" spans="1:7" s="3196" customFormat="1" ht="14.25" customHeight="1">
      <c r="A205" s="3207" t="s">
        <v>304</v>
      </c>
      <c r="B205" s="3207" t="s">
        <v>2888</v>
      </c>
      <c r="C205" s="3207">
        <v>7190</v>
      </c>
      <c r="D205" s="3207">
        <v>7130</v>
      </c>
      <c r="E205" s="3207">
        <v>9490</v>
      </c>
      <c r="F205" s="3207">
        <v>1470</v>
      </c>
      <c r="G205" s="3220">
        <v>4510</v>
      </c>
    </row>
    <row r="206" spans="1:7" s="3196" customFormat="1" ht="14.25" customHeight="1">
      <c r="A206" s="3207" t="s">
        <v>304</v>
      </c>
      <c r="B206" s="3207" t="s">
        <v>2891</v>
      </c>
      <c r="C206" s="3207">
        <v>7000</v>
      </c>
      <c r="D206" s="3207">
        <v>6950</v>
      </c>
      <c r="E206" s="3207">
        <v>9170</v>
      </c>
      <c r="F206" s="3207">
        <v>1400</v>
      </c>
      <c r="G206" s="3220">
        <v>4380</v>
      </c>
    </row>
    <row r="207" spans="1:7" s="3196" customFormat="1" ht="14.25" customHeight="1">
      <c r="A207" s="3207" t="s">
        <v>304</v>
      </c>
      <c r="B207" s="3207" t="s">
        <v>2893</v>
      </c>
      <c r="C207" s="3207">
        <v>6950</v>
      </c>
      <c r="D207" s="3207">
        <v>6900</v>
      </c>
      <c r="E207" s="3207">
        <v>9110</v>
      </c>
      <c r="F207" s="3207">
        <v>1790</v>
      </c>
      <c r="G207" s="3220">
        <v>4360</v>
      </c>
    </row>
    <row r="208" spans="1:7" s="3196" customFormat="1" ht="14.25" customHeight="1">
      <c r="A208" s="3207" t="s">
        <v>304</v>
      </c>
      <c r="B208" s="3207" t="s">
        <v>3067</v>
      </c>
      <c r="C208" s="3207">
        <v>9470</v>
      </c>
      <c r="D208" s="3207">
        <v>9410</v>
      </c>
      <c r="E208" s="3207">
        <v>12330</v>
      </c>
      <c r="F208" s="3207">
        <v>1770</v>
      </c>
      <c r="G208" s="3220">
        <v>5940</v>
      </c>
    </row>
    <row r="209" spans="1:7" s="3196" customFormat="1" ht="14.25" customHeight="1">
      <c r="A209" s="3207" t="s">
        <v>304</v>
      </c>
      <c r="B209" s="3207" t="s">
        <v>264</v>
      </c>
      <c r="C209" s="3207">
        <v>8740</v>
      </c>
      <c r="D209" s="3207">
        <v>8700</v>
      </c>
      <c r="E209" s="3207">
        <v>11500</v>
      </c>
      <c r="F209" s="3207">
        <v>1730</v>
      </c>
      <c r="G209" s="3220">
        <v>5490</v>
      </c>
    </row>
    <row r="210" spans="1:7" s="3196" customFormat="1" ht="14.25" customHeight="1">
      <c r="A210" s="3207" t="s">
        <v>304</v>
      </c>
      <c r="B210" s="3207" t="s">
        <v>2903</v>
      </c>
      <c r="C210" s="3207">
        <v>8710</v>
      </c>
      <c r="D210" s="3207">
        <v>8660</v>
      </c>
      <c r="E210" s="3207">
        <v>11440</v>
      </c>
      <c r="F210" s="3207">
        <v>1740</v>
      </c>
      <c r="G210" s="3220">
        <v>5470</v>
      </c>
    </row>
    <row r="211" spans="1:7" s="3196" customFormat="1" ht="14.25" customHeight="1">
      <c r="A211" s="3207" t="s">
        <v>304</v>
      </c>
      <c r="B211" s="3207" t="s">
        <v>3068</v>
      </c>
      <c r="C211" s="3207">
        <v>9480</v>
      </c>
      <c r="D211" s="3207">
        <v>9430</v>
      </c>
      <c r="E211" s="3207">
        <v>12360</v>
      </c>
      <c r="F211" s="3207">
        <v>1820</v>
      </c>
      <c r="G211" s="3220">
        <v>5950</v>
      </c>
    </row>
    <row r="212" spans="1:7" s="3196" customFormat="1" ht="14.25" customHeight="1">
      <c r="A212" s="3207" t="s">
        <v>304</v>
      </c>
      <c r="B212" s="3207" t="s">
        <v>285</v>
      </c>
      <c r="C212" s="3207">
        <v>9070</v>
      </c>
      <c r="D212" s="3207">
        <v>9020</v>
      </c>
      <c r="E212" s="3207">
        <v>11720</v>
      </c>
      <c r="F212" s="3207">
        <v>1850</v>
      </c>
      <c r="G212" s="3220">
        <v>5700</v>
      </c>
    </row>
    <row r="213" spans="1:7" s="3196" customFormat="1" ht="14.25" customHeight="1">
      <c r="A213" s="3207" t="s">
        <v>304</v>
      </c>
      <c r="B213" s="3207" t="s">
        <v>288</v>
      </c>
      <c r="C213" s="3207">
        <v>9030</v>
      </c>
      <c r="D213" s="3207">
        <v>8980</v>
      </c>
      <c r="E213" s="3207">
        <v>11670</v>
      </c>
      <c r="F213" s="3207">
        <v>1690</v>
      </c>
      <c r="G213" s="3220">
        <v>5670</v>
      </c>
    </row>
    <row r="214" spans="1:7" s="3196" customFormat="1" ht="14.25" customHeight="1">
      <c r="A214" s="3207" t="s">
        <v>304</v>
      </c>
      <c r="B214" s="3207" t="s">
        <v>3069</v>
      </c>
      <c r="C214" s="3207">
        <v>8090</v>
      </c>
      <c r="D214" s="3207">
        <v>8030</v>
      </c>
      <c r="E214" s="3207">
        <v>10780</v>
      </c>
      <c r="F214" s="3207">
        <v>1570</v>
      </c>
      <c r="G214" s="3220">
        <v>5070</v>
      </c>
    </row>
    <row r="215" spans="1:7" s="3196" customFormat="1" ht="14.25" customHeight="1">
      <c r="A215" s="3207" t="s">
        <v>304</v>
      </c>
      <c r="B215" s="3207" t="s">
        <v>3070</v>
      </c>
      <c r="C215" s="3207">
        <v>7950</v>
      </c>
      <c r="D215" s="3207">
        <v>7900</v>
      </c>
      <c r="E215" s="3207">
        <v>10560</v>
      </c>
      <c r="F215" s="3207">
        <v>1630</v>
      </c>
      <c r="G215" s="3220">
        <v>4990</v>
      </c>
    </row>
    <row r="216" spans="1:7" s="3196" customFormat="1" ht="14.25" customHeight="1">
      <c r="A216" s="3207" t="s">
        <v>304</v>
      </c>
      <c r="B216" s="3207" t="s">
        <v>3071</v>
      </c>
      <c r="C216" s="3207">
        <v>8490</v>
      </c>
      <c r="D216" s="3207">
        <v>8440</v>
      </c>
      <c r="E216" s="3207">
        <v>11260</v>
      </c>
      <c r="F216" s="3207">
        <v>1690</v>
      </c>
      <c r="G216" s="3220">
        <v>5330</v>
      </c>
    </row>
    <row r="217" spans="1:7" s="3196" customFormat="1" ht="14.25" customHeight="1">
      <c r="A217" s="3207" t="s">
        <v>304</v>
      </c>
      <c r="B217" s="3207" t="s">
        <v>2936</v>
      </c>
      <c r="C217" s="3207">
        <v>8200</v>
      </c>
      <c r="D217" s="3207">
        <v>8150</v>
      </c>
      <c r="E217" s="3207">
        <v>10910</v>
      </c>
      <c r="F217" s="3207">
        <v>1670</v>
      </c>
      <c r="G217" s="3220">
        <v>5150</v>
      </c>
    </row>
    <row r="218" spans="1:7" s="3196" customFormat="1" ht="14.25" customHeight="1">
      <c r="A218" s="3207" t="s">
        <v>304</v>
      </c>
      <c r="B218" s="3207" t="s">
        <v>3072</v>
      </c>
      <c r="C218" s="3207"/>
      <c r="D218" s="3207"/>
      <c r="E218" s="3207"/>
      <c r="F218" s="3207">
        <v>2040</v>
      </c>
      <c r="G218" s="3220"/>
    </row>
    <row r="219" spans="1:7" s="3196" customFormat="1" ht="14.25" customHeight="1">
      <c r="A219" s="3207" t="s">
        <v>304</v>
      </c>
      <c r="B219" s="3207" t="s">
        <v>3073</v>
      </c>
      <c r="C219" s="3207"/>
      <c r="D219" s="3207"/>
      <c r="E219" s="3207"/>
      <c r="F219" s="3207">
        <v>2040</v>
      </c>
      <c r="G219" s="3220"/>
    </row>
    <row r="220" spans="1:7" s="3196" customFormat="1" ht="14.25" customHeight="1">
      <c r="A220" s="3207" t="s">
        <v>304</v>
      </c>
      <c r="B220" s="3207" t="s">
        <v>3074</v>
      </c>
      <c r="C220" s="3207"/>
      <c r="D220" s="3207"/>
      <c r="E220" s="3207"/>
      <c r="F220" s="3207">
        <v>2040</v>
      </c>
      <c r="G220" s="3220"/>
    </row>
    <row r="221" spans="1:7" s="3196" customFormat="1" ht="14.25" customHeight="1">
      <c r="A221" s="3207" t="s">
        <v>304</v>
      </c>
      <c r="B221" s="3207" t="s">
        <v>3075</v>
      </c>
      <c r="C221" s="3207"/>
      <c r="D221" s="3207"/>
      <c r="E221" s="3207"/>
      <c r="F221" s="3207">
        <v>2040</v>
      </c>
      <c r="G221" s="3220"/>
    </row>
    <row r="222" spans="1:7" s="3196" customFormat="1" ht="14.25" customHeight="1">
      <c r="A222" s="3207" t="s">
        <v>304</v>
      </c>
      <c r="B222" s="3207" t="s">
        <v>3076</v>
      </c>
      <c r="C222" s="3207"/>
      <c r="D222" s="3207"/>
      <c r="E222" s="3207"/>
      <c r="F222" s="3207">
        <v>2040</v>
      </c>
      <c r="G222" s="3220"/>
    </row>
    <row r="223" spans="1:7" s="3196" customFormat="1" ht="14.25" customHeight="1">
      <c r="A223" s="3207" t="s">
        <v>304</v>
      </c>
      <c r="B223" s="3207" t="s">
        <v>3077</v>
      </c>
      <c r="C223" s="3207"/>
      <c r="D223" s="3207"/>
      <c r="E223" s="3207"/>
      <c r="F223" s="3207">
        <v>1930</v>
      </c>
      <c r="G223" s="3220"/>
    </row>
    <row r="224" spans="1:7" s="3196" customFormat="1" ht="14.25" customHeight="1">
      <c r="A224" s="3207" t="s">
        <v>304</v>
      </c>
      <c r="B224" s="3207" t="s">
        <v>3078</v>
      </c>
      <c r="C224" s="3207"/>
      <c r="D224" s="3207"/>
      <c r="E224" s="3207"/>
      <c r="F224" s="3207">
        <v>1930</v>
      </c>
      <c r="G224" s="3220"/>
    </row>
    <row r="225" spans="1:7" s="3196" customFormat="1" ht="14.25" customHeight="1">
      <c r="A225" s="3207" t="s">
        <v>304</v>
      </c>
      <c r="B225" s="3207" t="s">
        <v>3079</v>
      </c>
      <c r="C225" s="3207"/>
      <c r="D225" s="3207"/>
      <c r="E225" s="3207"/>
      <c r="F225" s="3207">
        <v>1930</v>
      </c>
      <c r="G225" s="3220"/>
    </row>
    <row r="226" spans="1:7" s="3196" customFormat="1" ht="14.25" customHeight="1">
      <c r="A226" s="3207" t="s">
        <v>304</v>
      </c>
      <c r="B226" s="3207" t="s">
        <v>3080</v>
      </c>
      <c r="C226" s="3207"/>
      <c r="D226" s="3207"/>
      <c r="E226" s="3207"/>
      <c r="F226" s="3207">
        <v>1700</v>
      </c>
      <c r="G226" s="3220"/>
    </row>
    <row r="227" spans="1:7" s="3196" customFormat="1" ht="14.25" customHeight="1">
      <c r="A227" s="3207" t="s">
        <v>304</v>
      </c>
      <c r="B227" s="3207" t="s">
        <v>3081</v>
      </c>
      <c r="C227" s="3207"/>
      <c r="D227" s="3207"/>
      <c r="E227" s="3207"/>
      <c r="F227" s="3207">
        <v>1520</v>
      </c>
      <c r="G227" s="3220"/>
    </row>
    <row r="228" spans="1:7" s="3196" customFormat="1" ht="14.25" customHeight="1">
      <c r="A228" s="3207" t="s">
        <v>304</v>
      </c>
      <c r="B228" s="3207" t="s">
        <v>3082</v>
      </c>
      <c r="C228" s="3207"/>
      <c r="D228" s="3207"/>
      <c r="E228" s="3207"/>
      <c r="F228" s="3207">
        <v>1520</v>
      </c>
      <c r="G228" s="3220"/>
    </row>
    <row r="229" spans="1:7" s="3196" customFormat="1" ht="14.25" customHeight="1">
      <c r="A229" s="3207" t="s">
        <v>304</v>
      </c>
      <c r="B229" s="3207" t="s">
        <v>2999</v>
      </c>
      <c r="C229" s="3207"/>
      <c r="D229" s="3207"/>
      <c r="E229" s="3207"/>
      <c r="F229" s="3207">
        <v>1520</v>
      </c>
      <c r="G229" s="3220"/>
    </row>
    <row r="230" spans="1:7" s="3196" customFormat="1" ht="14.25" customHeight="1">
      <c r="A230" s="3207" t="s">
        <v>304</v>
      </c>
      <c r="B230" s="3207" t="s">
        <v>3083</v>
      </c>
      <c r="C230" s="3207"/>
      <c r="D230" s="3207"/>
      <c r="E230" s="3207"/>
      <c r="F230" s="3207">
        <v>1820</v>
      </c>
      <c r="G230" s="3220"/>
    </row>
    <row r="231" spans="1:7" s="3196" customFormat="1" ht="14.25" customHeight="1">
      <c r="A231" s="3207" t="s">
        <v>304</v>
      </c>
      <c r="B231" s="3207" t="s">
        <v>3084</v>
      </c>
      <c r="C231" s="3207"/>
      <c r="D231" s="3207"/>
      <c r="E231" s="3207"/>
      <c r="F231" s="3207">
        <v>1760</v>
      </c>
      <c r="G231" s="3220"/>
    </row>
    <row r="232" spans="1:7" s="3196" customFormat="1" ht="14.25" customHeight="1">
      <c r="A232" s="3207" t="s">
        <v>304</v>
      </c>
      <c r="B232" s="3207" t="s">
        <v>3085</v>
      </c>
      <c r="C232" s="3207"/>
      <c r="D232" s="3207"/>
      <c r="E232" s="3207"/>
      <c r="F232" s="3207">
        <v>1840</v>
      </c>
      <c r="G232" s="3220"/>
    </row>
    <row r="233" spans="1:7" s="3196" customFormat="1" ht="14.25" customHeight="1" thickBot="1">
      <c r="A233" s="3221" t="s">
        <v>304</v>
      </c>
      <c r="B233" s="3214" t="s">
        <v>3016</v>
      </c>
      <c r="C233" s="3214"/>
      <c r="D233" s="3214"/>
      <c r="E233" s="3214"/>
      <c r="F233" s="3214">
        <v>1770</v>
      </c>
      <c r="G233" s="3222"/>
    </row>
    <row r="234" spans="1:7" s="3196" customFormat="1" ht="14.25" customHeight="1">
      <c r="A234" s="3212" t="s">
        <v>305</v>
      </c>
      <c r="B234" s="3203" t="s">
        <v>3086</v>
      </c>
      <c r="C234" s="3207">
        <v>6980</v>
      </c>
      <c r="D234" s="3207">
        <v>6970</v>
      </c>
      <c r="E234" s="3207">
        <v>8720</v>
      </c>
      <c r="F234" s="3207">
        <v>1350</v>
      </c>
      <c r="G234" s="3207">
        <v>4280</v>
      </c>
    </row>
    <row r="235" spans="1:7" s="3196" customFormat="1" ht="14.25" customHeight="1">
      <c r="A235" s="3207" t="s">
        <v>305</v>
      </c>
      <c r="B235" s="3207" t="s">
        <v>134</v>
      </c>
      <c r="C235" s="3207">
        <v>7620</v>
      </c>
      <c r="D235" s="3207">
        <v>7580</v>
      </c>
      <c r="E235" s="3207">
        <v>9360</v>
      </c>
      <c r="F235" s="3207">
        <v>1490</v>
      </c>
      <c r="G235" s="3207">
        <v>4650</v>
      </c>
    </row>
    <row r="236" spans="1:7" s="3196" customFormat="1" ht="14.25" customHeight="1">
      <c r="A236" s="3207" t="s">
        <v>305</v>
      </c>
      <c r="B236" s="3207" t="s">
        <v>143</v>
      </c>
      <c r="C236" s="3207">
        <v>6650</v>
      </c>
      <c r="D236" s="3207">
        <v>6630</v>
      </c>
      <c r="E236" s="3207">
        <v>8330</v>
      </c>
      <c r="F236" s="3207">
        <v>1250</v>
      </c>
      <c r="G236" s="3207">
        <v>4070</v>
      </c>
    </row>
    <row r="237" spans="1:7" s="3196" customFormat="1" ht="14.25" customHeight="1">
      <c r="A237" s="3207" t="s">
        <v>305</v>
      </c>
      <c r="B237" s="3207" t="s">
        <v>152</v>
      </c>
      <c r="C237" s="3207">
        <v>5850</v>
      </c>
      <c r="D237" s="3207">
        <v>5820</v>
      </c>
      <c r="E237" s="3207">
        <v>7260</v>
      </c>
      <c r="F237" s="3207">
        <v>1140</v>
      </c>
      <c r="G237" s="3207">
        <v>3570</v>
      </c>
    </row>
    <row r="238" spans="1:7" s="3196" customFormat="1" ht="14.25" customHeight="1">
      <c r="A238" s="3207" t="s">
        <v>305</v>
      </c>
      <c r="B238" s="3207" t="s">
        <v>2857</v>
      </c>
      <c r="C238" s="3207">
        <v>6920</v>
      </c>
      <c r="D238" s="3207">
        <v>6890</v>
      </c>
      <c r="E238" s="3207">
        <v>8640</v>
      </c>
      <c r="F238" s="3207">
        <v>1310</v>
      </c>
      <c r="G238" s="3207">
        <v>4230</v>
      </c>
    </row>
    <row r="239" spans="1:7" s="3196" customFormat="1" ht="14.25" customHeight="1">
      <c r="A239" s="3207" t="s">
        <v>305</v>
      </c>
      <c r="B239" s="3207" t="s">
        <v>3087</v>
      </c>
      <c r="C239" s="3207">
        <v>6780</v>
      </c>
      <c r="D239" s="3207">
        <v>6750</v>
      </c>
      <c r="E239" s="3207">
        <v>8440</v>
      </c>
      <c r="F239" s="3207">
        <v>1160</v>
      </c>
      <c r="G239" s="3207">
        <v>4140</v>
      </c>
    </row>
    <row r="240" spans="1:7" s="3196" customFormat="1" ht="14.25" customHeight="1">
      <c r="A240" s="3207" t="s">
        <v>305</v>
      </c>
      <c r="B240" s="3207" t="s">
        <v>3088</v>
      </c>
      <c r="C240" s="3207">
        <v>5420</v>
      </c>
      <c r="D240" s="3207">
        <v>5380</v>
      </c>
      <c r="E240" s="3207">
        <v>6640</v>
      </c>
      <c r="F240" s="3207">
        <v>1020</v>
      </c>
      <c r="G240" s="3207">
        <v>3300</v>
      </c>
    </row>
    <row r="241" spans="1:7" s="3196" customFormat="1" ht="14.25" customHeight="1">
      <c r="A241" s="3207" t="s">
        <v>305</v>
      </c>
      <c r="B241" s="3207" t="s">
        <v>3089</v>
      </c>
      <c r="C241" s="3207">
        <v>6660</v>
      </c>
      <c r="D241" s="3207">
        <v>6640</v>
      </c>
      <c r="E241" s="3207">
        <v>8340</v>
      </c>
      <c r="F241" s="3207">
        <v>1130</v>
      </c>
      <c r="G241" s="3207">
        <v>4080</v>
      </c>
    </row>
    <row r="242" spans="1:7" s="3196" customFormat="1" ht="14.25" customHeight="1">
      <c r="A242" s="3207" t="s">
        <v>305</v>
      </c>
      <c r="B242" s="3207" t="s">
        <v>181</v>
      </c>
      <c r="C242" s="3207">
        <v>6580</v>
      </c>
      <c r="D242" s="3207">
        <v>6550</v>
      </c>
      <c r="E242" s="3207">
        <v>8090</v>
      </c>
      <c r="F242" s="3207">
        <v>1240</v>
      </c>
      <c r="G242" s="3207">
        <v>4020</v>
      </c>
    </row>
    <row r="243" spans="1:7" s="3196" customFormat="1" ht="14.25" customHeight="1">
      <c r="A243" s="3207" t="s">
        <v>305</v>
      </c>
      <c r="B243" s="3207" t="s">
        <v>191</v>
      </c>
      <c r="C243" s="3207">
        <v>6000</v>
      </c>
      <c r="D243" s="3207">
        <v>5970</v>
      </c>
      <c r="E243" s="3207">
        <v>7370</v>
      </c>
      <c r="F243" s="3207">
        <v>1070</v>
      </c>
      <c r="G243" s="3207">
        <v>3670</v>
      </c>
    </row>
    <row r="244" spans="1:7" s="3196" customFormat="1" ht="14.25" customHeight="1">
      <c r="A244" s="3207" t="s">
        <v>305</v>
      </c>
      <c r="B244" s="3207" t="s">
        <v>3090</v>
      </c>
      <c r="C244" s="3207">
        <v>5840</v>
      </c>
      <c r="D244" s="3207">
        <v>5810</v>
      </c>
      <c r="E244" s="3207">
        <v>7240</v>
      </c>
      <c r="F244" s="3207">
        <v>1100</v>
      </c>
      <c r="G244" s="3207">
        <v>3560</v>
      </c>
    </row>
    <row r="245" spans="1:7" s="3196" customFormat="1" ht="14.25" customHeight="1">
      <c r="A245" s="3207" t="s">
        <v>305</v>
      </c>
      <c r="B245" s="3207" t="s">
        <v>206</v>
      </c>
      <c r="C245" s="3207">
        <v>6040</v>
      </c>
      <c r="D245" s="3207">
        <v>6000</v>
      </c>
      <c r="E245" s="3207">
        <v>7420</v>
      </c>
      <c r="F245" s="3207">
        <v>1140</v>
      </c>
      <c r="G245" s="3207">
        <v>3690</v>
      </c>
    </row>
    <row r="246" spans="1:7" s="3196" customFormat="1" ht="14.25" customHeight="1">
      <c r="A246" s="3207" t="s">
        <v>305</v>
      </c>
      <c r="B246" s="3207" t="s">
        <v>213</v>
      </c>
      <c r="C246" s="3207">
        <v>5890</v>
      </c>
      <c r="D246" s="3207">
        <v>5860</v>
      </c>
      <c r="E246" s="3207">
        <v>7300</v>
      </c>
      <c r="F246" s="3207">
        <v>1110</v>
      </c>
      <c r="G246" s="3207">
        <v>3590</v>
      </c>
    </row>
    <row r="247" spans="1:7" s="3196" customFormat="1" ht="14.25" customHeight="1">
      <c r="A247" s="3207" t="s">
        <v>305</v>
      </c>
      <c r="B247" s="3207" t="s">
        <v>3091</v>
      </c>
      <c r="C247" s="3207">
        <v>6480</v>
      </c>
      <c r="D247" s="3207">
        <v>6450</v>
      </c>
      <c r="E247" s="3207">
        <v>8010</v>
      </c>
      <c r="F247" s="3207">
        <v>1170</v>
      </c>
      <c r="G247" s="3207">
        <v>3960</v>
      </c>
    </row>
    <row r="248" spans="1:7" s="3196" customFormat="1" ht="14.25" customHeight="1">
      <c r="A248" s="3207" t="s">
        <v>305</v>
      </c>
      <c r="B248" s="3207" t="s">
        <v>227</v>
      </c>
      <c r="C248" s="3207">
        <v>6860</v>
      </c>
      <c r="D248" s="3207">
        <v>6840</v>
      </c>
      <c r="E248" s="3207">
        <v>8520</v>
      </c>
      <c r="F248" s="3207">
        <v>1240</v>
      </c>
      <c r="G248" s="3207">
        <v>4200</v>
      </c>
    </row>
    <row r="249" spans="1:7" s="3196" customFormat="1" ht="14.25" customHeight="1">
      <c r="A249" s="3207" t="s">
        <v>305</v>
      </c>
      <c r="B249" s="3207" t="s">
        <v>3092</v>
      </c>
      <c r="C249" s="3207">
        <v>7180</v>
      </c>
      <c r="D249" s="3207">
        <v>7140</v>
      </c>
      <c r="E249" s="3207">
        <v>8900</v>
      </c>
      <c r="F249" s="3207">
        <v>1350</v>
      </c>
      <c r="G249" s="3207">
        <v>4380</v>
      </c>
    </row>
    <row r="250" spans="1:7" s="3196" customFormat="1" ht="14.25" customHeight="1">
      <c r="A250" s="3207" t="s">
        <v>305</v>
      </c>
      <c r="B250" s="3207" t="s">
        <v>241</v>
      </c>
      <c r="C250" s="3207">
        <v>6880</v>
      </c>
      <c r="D250" s="3207">
        <v>6860</v>
      </c>
      <c r="E250" s="3207">
        <v>8550</v>
      </c>
      <c r="F250" s="3207">
        <v>1220</v>
      </c>
      <c r="G250" s="3207">
        <v>4210</v>
      </c>
    </row>
    <row r="251" spans="1:7" s="3196" customFormat="1" ht="14.25" customHeight="1">
      <c r="A251" s="3207" t="s">
        <v>305</v>
      </c>
      <c r="B251" s="3207" t="s">
        <v>249</v>
      </c>
      <c r="C251" s="3207"/>
      <c r="D251" s="3207"/>
      <c r="E251" s="3207"/>
      <c r="F251" s="3207">
        <v>1100</v>
      </c>
      <c r="G251" s="3207"/>
    </row>
    <row r="252" spans="1:7" s="3196" customFormat="1" ht="14.25" customHeight="1">
      <c r="A252" s="3207" t="s">
        <v>305</v>
      </c>
      <c r="B252" s="3207" t="s">
        <v>3093</v>
      </c>
      <c r="C252" s="3207">
        <v>7240</v>
      </c>
      <c r="D252" s="3207">
        <v>7200</v>
      </c>
      <c r="E252" s="3207">
        <v>9040</v>
      </c>
      <c r="F252" s="3207">
        <v>1380</v>
      </c>
      <c r="G252" s="3207">
        <v>4420</v>
      </c>
    </row>
    <row r="253" spans="1:7" s="3196" customFormat="1" ht="14.25" customHeight="1">
      <c r="A253" s="3207" t="s">
        <v>305</v>
      </c>
      <c r="B253" s="3207" t="s">
        <v>283</v>
      </c>
      <c r="C253" s="3207">
        <v>6670</v>
      </c>
      <c r="D253" s="3207">
        <v>6650</v>
      </c>
      <c r="E253" s="3207">
        <v>8350</v>
      </c>
      <c r="F253" s="3207">
        <v>1260</v>
      </c>
      <c r="G253" s="3207">
        <v>4080</v>
      </c>
    </row>
    <row r="254" spans="1:7" s="3196" customFormat="1" ht="14.25" customHeight="1">
      <c r="A254" s="3207" t="s">
        <v>305</v>
      </c>
      <c r="B254" s="3207" t="s">
        <v>286</v>
      </c>
      <c r="C254" s="3207">
        <v>7630</v>
      </c>
      <c r="D254" s="3207">
        <v>7590</v>
      </c>
      <c r="E254" s="3207">
        <v>9380</v>
      </c>
      <c r="F254" s="3207">
        <v>1320</v>
      </c>
      <c r="G254" s="3207">
        <v>4660</v>
      </c>
    </row>
    <row r="255" spans="1:7" s="3196" customFormat="1" ht="14.25" customHeight="1">
      <c r="A255" s="3207" t="s">
        <v>305</v>
      </c>
      <c r="B255" s="3207" t="s">
        <v>289</v>
      </c>
      <c r="C255" s="3207">
        <v>6940</v>
      </c>
      <c r="D255" s="3207">
        <v>6890</v>
      </c>
      <c r="E255" s="3207">
        <v>8650</v>
      </c>
      <c r="F255" s="3207">
        <v>1210</v>
      </c>
      <c r="G255" s="3207">
        <v>4230</v>
      </c>
    </row>
    <row r="256" spans="1:7" s="3196" customFormat="1" ht="14.25" customHeight="1">
      <c r="A256" s="3207" t="s">
        <v>305</v>
      </c>
      <c r="B256" s="3207" t="s">
        <v>3094</v>
      </c>
      <c r="C256" s="3207">
        <v>7520</v>
      </c>
      <c r="D256" s="3207">
        <v>7490</v>
      </c>
      <c r="E256" s="3207">
        <v>9240</v>
      </c>
      <c r="F256" s="3207">
        <v>1270</v>
      </c>
      <c r="G256" s="3207">
        <v>4590</v>
      </c>
    </row>
    <row r="257" spans="1:7" s="3196" customFormat="1" ht="14.25" customHeight="1">
      <c r="A257" s="3207" t="s">
        <v>305</v>
      </c>
      <c r="B257" s="3207" t="s">
        <v>275</v>
      </c>
      <c r="C257" s="3207">
        <v>6280</v>
      </c>
      <c r="D257" s="3207">
        <v>6230</v>
      </c>
      <c r="E257" s="3207">
        <v>7740</v>
      </c>
      <c r="F257" s="3207">
        <v>1080</v>
      </c>
      <c r="G257" s="3207">
        <v>3830</v>
      </c>
    </row>
    <row r="258" spans="1:7" s="3196" customFormat="1" ht="14.25" customHeight="1">
      <c r="A258" s="3207" t="s">
        <v>305</v>
      </c>
      <c r="B258" s="3207" t="s">
        <v>2919</v>
      </c>
      <c r="C258" s="3207">
        <v>6190</v>
      </c>
      <c r="D258" s="3207">
        <v>6160</v>
      </c>
      <c r="E258" s="3207">
        <v>7680</v>
      </c>
      <c r="F258" s="3207">
        <v>1170</v>
      </c>
      <c r="G258" s="3207">
        <v>3780</v>
      </c>
    </row>
    <row r="259" spans="1:7" s="3196" customFormat="1" ht="14.25" customHeight="1">
      <c r="A259" s="3207" t="s">
        <v>305</v>
      </c>
      <c r="B259" s="3207" t="s">
        <v>3095</v>
      </c>
      <c r="C259" s="3207">
        <v>7610</v>
      </c>
      <c r="D259" s="3207">
        <v>7570</v>
      </c>
      <c r="E259" s="3207">
        <v>9350</v>
      </c>
      <c r="F259" s="3207">
        <v>1350</v>
      </c>
      <c r="G259" s="3207">
        <v>4650</v>
      </c>
    </row>
    <row r="260" spans="1:7" s="3196" customFormat="1" ht="14.25" customHeight="1">
      <c r="A260" s="3207" t="s">
        <v>305</v>
      </c>
      <c r="B260" s="3207" t="s">
        <v>3096</v>
      </c>
      <c r="C260" s="3207">
        <v>6920</v>
      </c>
      <c r="D260" s="3207">
        <v>6880</v>
      </c>
      <c r="E260" s="3207">
        <v>8380</v>
      </c>
      <c r="F260" s="3207">
        <v>1160</v>
      </c>
      <c r="G260" s="3207">
        <v>4220</v>
      </c>
    </row>
    <row r="261" spans="1:7" s="3196" customFormat="1" ht="14.25" customHeight="1">
      <c r="A261" s="3207" t="s">
        <v>305</v>
      </c>
      <c r="B261" s="3207" t="s">
        <v>3097</v>
      </c>
      <c r="C261" s="3207">
        <v>6850</v>
      </c>
      <c r="D261" s="3207">
        <v>6810</v>
      </c>
      <c r="E261" s="3207">
        <v>8290</v>
      </c>
      <c r="F261" s="3207">
        <v>1130</v>
      </c>
      <c r="G261" s="3207">
        <v>4180</v>
      </c>
    </row>
    <row r="262" spans="1:7" s="3196" customFormat="1" ht="14.25" customHeight="1">
      <c r="A262" s="3207" t="s">
        <v>305</v>
      </c>
      <c r="B262" s="3207" t="s">
        <v>3098</v>
      </c>
      <c r="C262" s="3207">
        <v>5860</v>
      </c>
      <c r="D262" s="3207">
        <v>5820</v>
      </c>
      <c r="E262" s="3207">
        <v>7640</v>
      </c>
      <c r="F262" s="3207">
        <v>1070</v>
      </c>
      <c r="G262" s="3207">
        <v>3570</v>
      </c>
    </row>
    <row r="263" spans="1:7" s="3196" customFormat="1" ht="14.25" customHeight="1">
      <c r="A263" s="3207" t="s">
        <v>305</v>
      </c>
      <c r="B263" s="3207" t="s">
        <v>3099</v>
      </c>
      <c r="C263" s="3207">
        <v>5870</v>
      </c>
      <c r="D263" s="3207">
        <v>5840</v>
      </c>
      <c r="E263" s="3207">
        <v>7270</v>
      </c>
      <c r="F263" s="3207">
        <v>1190</v>
      </c>
      <c r="G263" s="3207">
        <v>3580</v>
      </c>
    </row>
    <row r="264" spans="1:7" s="3196" customFormat="1" ht="14.25" customHeight="1">
      <c r="A264" s="3207" t="s">
        <v>305</v>
      </c>
      <c r="B264" s="3207" t="s">
        <v>299</v>
      </c>
      <c r="C264" s="3207">
        <v>6190</v>
      </c>
      <c r="D264" s="3207">
        <v>6150</v>
      </c>
      <c r="E264" s="3207">
        <v>7660</v>
      </c>
      <c r="F264" s="3207">
        <v>1160</v>
      </c>
      <c r="G264" s="3207">
        <v>3770</v>
      </c>
    </row>
    <row r="265" spans="1:7" s="3196" customFormat="1" ht="14.25" customHeight="1">
      <c r="A265" s="3207" t="s">
        <v>305</v>
      </c>
      <c r="B265" s="3207" t="s">
        <v>3100</v>
      </c>
      <c r="C265" s="3207"/>
      <c r="D265" s="3207"/>
      <c r="E265" s="3207"/>
      <c r="F265" s="3207">
        <v>1500</v>
      </c>
      <c r="G265" s="3207"/>
    </row>
    <row r="266" spans="1:7" s="3196" customFormat="1" ht="14.25" customHeight="1">
      <c r="A266" s="3207" t="s">
        <v>305</v>
      </c>
      <c r="B266" s="3207" t="s">
        <v>3101</v>
      </c>
      <c r="C266" s="3207"/>
      <c r="D266" s="3207"/>
      <c r="E266" s="3207"/>
      <c r="F266" s="3207">
        <v>1500</v>
      </c>
      <c r="G266" s="3207"/>
    </row>
    <row r="267" spans="1:7" s="3196" customFormat="1" ht="14.25" customHeight="1">
      <c r="A267" s="3207" t="s">
        <v>305</v>
      </c>
      <c r="B267" s="3207" t="s">
        <v>3102</v>
      </c>
      <c r="C267" s="3207"/>
      <c r="D267" s="3207"/>
      <c r="E267" s="3207"/>
      <c r="F267" s="3207">
        <v>1500</v>
      </c>
      <c r="G267" s="3207"/>
    </row>
    <row r="268" spans="1:7" s="3196" customFormat="1" ht="14.25" customHeight="1">
      <c r="A268" s="3207" t="s">
        <v>305</v>
      </c>
      <c r="B268" s="3207" t="s">
        <v>3103</v>
      </c>
      <c r="C268" s="3207"/>
      <c r="D268" s="3207"/>
      <c r="E268" s="3207"/>
      <c r="F268" s="3207">
        <v>1290</v>
      </c>
      <c r="G268" s="3207"/>
    </row>
    <row r="269" spans="1:7" s="3196" customFormat="1" ht="14.25" customHeight="1">
      <c r="A269" s="3207" t="s">
        <v>305</v>
      </c>
      <c r="B269" s="3207" t="s">
        <v>3104</v>
      </c>
      <c r="C269" s="3207"/>
      <c r="D269" s="3207"/>
      <c r="E269" s="3207"/>
      <c r="F269" s="3207">
        <v>1150</v>
      </c>
      <c r="G269" s="3207"/>
    </row>
    <row r="270" spans="1:7" s="3196" customFormat="1" ht="14.25" customHeight="1">
      <c r="A270" s="3207" t="s">
        <v>305</v>
      </c>
      <c r="B270" s="3207" t="s">
        <v>3105</v>
      </c>
      <c r="C270" s="3207"/>
      <c r="D270" s="3207"/>
      <c r="E270" s="3207"/>
      <c r="F270" s="3207">
        <v>1380</v>
      </c>
      <c r="G270" s="3207"/>
    </row>
    <row r="271" spans="1:7" s="3196" customFormat="1" ht="14.25" customHeight="1">
      <c r="A271" s="3207" t="s">
        <v>305</v>
      </c>
      <c r="B271" s="3207" t="s">
        <v>3106</v>
      </c>
      <c r="C271" s="3207"/>
      <c r="D271" s="3207"/>
      <c r="E271" s="3207"/>
      <c r="F271" s="3207">
        <v>1460</v>
      </c>
      <c r="G271" s="3207"/>
    </row>
    <row r="272" spans="1:7" s="3196" customFormat="1" ht="14.25" customHeight="1">
      <c r="A272" s="3207" t="s">
        <v>305</v>
      </c>
      <c r="B272" s="3207" t="s">
        <v>3107</v>
      </c>
      <c r="C272" s="3207"/>
      <c r="D272" s="3207"/>
      <c r="E272" s="3207"/>
      <c r="F272" s="3207">
        <v>1460</v>
      </c>
      <c r="G272" s="3207"/>
    </row>
    <row r="273" spans="1:7" s="3196" customFormat="1" ht="14.25" customHeight="1">
      <c r="A273" s="3207" t="s">
        <v>305</v>
      </c>
      <c r="B273" s="3207" t="s">
        <v>3000</v>
      </c>
      <c r="C273" s="3207"/>
      <c r="D273" s="3207"/>
      <c r="E273" s="3207"/>
      <c r="F273" s="3207">
        <v>1490</v>
      </c>
      <c r="G273" s="3207"/>
    </row>
    <row r="274" spans="1:7" s="3196" customFormat="1" ht="14.25" customHeight="1">
      <c r="A274" s="3207" t="s">
        <v>305</v>
      </c>
      <c r="B274" s="3207" t="s">
        <v>3108</v>
      </c>
      <c r="C274" s="3207"/>
      <c r="D274" s="3207"/>
      <c r="E274" s="3207"/>
      <c r="F274" s="3207">
        <v>1490</v>
      </c>
      <c r="G274" s="3207"/>
    </row>
    <row r="275" spans="1:7" s="3196" customFormat="1" ht="14.25" customHeight="1">
      <c r="A275" s="3207" t="s">
        <v>305</v>
      </c>
      <c r="B275" s="3207" t="s">
        <v>3109</v>
      </c>
      <c r="C275" s="3207"/>
      <c r="D275" s="3207"/>
      <c r="E275" s="3207"/>
      <c r="F275" s="3207">
        <v>1220</v>
      </c>
      <c r="G275" s="3207"/>
    </row>
    <row r="276" spans="1:7" s="3196" customFormat="1" ht="14.25" customHeight="1" thickBot="1">
      <c r="A276" s="3215" t="s">
        <v>305</v>
      </c>
      <c r="B276" s="3217" t="s">
        <v>3110</v>
      </c>
      <c r="C276" s="3218"/>
      <c r="D276" s="3218"/>
      <c r="E276" s="3218"/>
      <c r="F276" s="3218">
        <v>1380</v>
      </c>
      <c r="G276" s="3218"/>
    </row>
    <row r="277" spans="1:7" s="3196" customFormat="1" ht="14.25" customHeight="1">
      <c r="A277" s="3212" t="s">
        <v>306</v>
      </c>
      <c r="B277" s="3203" t="s">
        <v>3111</v>
      </c>
      <c r="C277" s="3203">
        <v>5790</v>
      </c>
      <c r="D277" s="3203">
        <v>5740</v>
      </c>
      <c r="E277" s="3203">
        <v>6730</v>
      </c>
      <c r="F277" s="3203">
        <v>1110</v>
      </c>
      <c r="G277" s="3219">
        <v>3460</v>
      </c>
    </row>
    <row r="278" spans="1:7" s="3196" customFormat="1" ht="14.25" customHeight="1">
      <c r="A278" s="3207" t="s">
        <v>306</v>
      </c>
      <c r="B278" s="3207" t="s">
        <v>135</v>
      </c>
      <c r="C278" s="3207">
        <v>5740</v>
      </c>
      <c r="D278" s="3207">
        <v>5670</v>
      </c>
      <c r="E278" s="3207">
        <v>6680</v>
      </c>
      <c r="F278" s="3207">
        <v>1070</v>
      </c>
      <c r="G278" s="3220">
        <v>3420</v>
      </c>
    </row>
    <row r="279" spans="1:7" s="3196" customFormat="1" ht="14.25" customHeight="1">
      <c r="A279" s="3207" t="s">
        <v>306</v>
      </c>
      <c r="B279" s="3207" t="s">
        <v>3112</v>
      </c>
      <c r="C279" s="3207">
        <v>4760</v>
      </c>
      <c r="D279" s="3207">
        <v>4720</v>
      </c>
      <c r="E279" s="3207">
        <v>5540</v>
      </c>
      <c r="F279" s="3207">
        <v>810</v>
      </c>
      <c r="G279" s="3220">
        <v>2850</v>
      </c>
    </row>
    <row r="280" spans="1:7" s="3196" customFormat="1" ht="14.25" customHeight="1">
      <c r="A280" s="3207" t="s">
        <v>306</v>
      </c>
      <c r="B280" s="3207" t="s">
        <v>3113</v>
      </c>
      <c r="C280" s="3207">
        <v>4010</v>
      </c>
      <c r="D280" s="3207">
        <v>3950</v>
      </c>
      <c r="E280" s="3207">
        <v>4710</v>
      </c>
      <c r="F280" s="3207">
        <v>800</v>
      </c>
      <c r="G280" s="3220">
        <v>2390</v>
      </c>
    </row>
    <row r="281" spans="1:7" s="3196" customFormat="1" ht="14.25" customHeight="1">
      <c r="A281" s="3207" t="s">
        <v>306</v>
      </c>
      <c r="B281" s="3207" t="s">
        <v>3114</v>
      </c>
      <c r="C281" s="3207">
        <v>4480</v>
      </c>
      <c r="D281" s="3207">
        <v>4420</v>
      </c>
      <c r="E281" s="3207">
        <v>5230</v>
      </c>
      <c r="F281" s="3207">
        <v>870</v>
      </c>
      <c r="G281" s="3220">
        <v>2660</v>
      </c>
    </row>
    <row r="282" spans="1:7" s="3196" customFormat="1" ht="14.25" customHeight="1">
      <c r="A282" s="3207" t="s">
        <v>306</v>
      </c>
      <c r="B282" s="3207" t="s">
        <v>3115</v>
      </c>
      <c r="C282" s="3207">
        <v>5360</v>
      </c>
      <c r="D282" s="3207">
        <v>5300</v>
      </c>
      <c r="E282" s="3207">
        <v>6190</v>
      </c>
      <c r="F282" s="3207">
        <v>950</v>
      </c>
      <c r="G282" s="3220">
        <v>3190</v>
      </c>
    </row>
    <row r="283" spans="1:7" s="3196" customFormat="1" ht="14.25" customHeight="1">
      <c r="A283" s="3207" t="s">
        <v>306</v>
      </c>
      <c r="B283" s="3207" t="s">
        <v>174</v>
      </c>
      <c r="C283" s="3207">
        <v>4950</v>
      </c>
      <c r="D283" s="3207">
        <v>4900</v>
      </c>
      <c r="E283" s="3207">
        <v>5720</v>
      </c>
      <c r="F283" s="3207">
        <v>920</v>
      </c>
      <c r="G283" s="3220">
        <v>2950</v>
      </c>
    </row>
    <row r="284" spans="1:7" s="3196" customFormat="1" ht="14.25" customHeight="1">
      <c r="A284" s="3207" t="s">
        <v>306</v>
      </c>
      <c r="B284" s="3207" t="s">
        <v>182</v>
      </c>
      <c r="C284" s="3207">
        <v>5610</v>
      </c>
      <c r="D284" s="3207">
        <v>5560</v>
      </c>
      <c r="E284" s="3207">
        <v>6520</v>
      </c>
      <c r="F284" s="3207">
        <v>1030</v>
      </c>
      <c r="G284" s="3220">
        <v>3360</v>
      </c>
    </row>
    <row r="285" spans="1:7" s="3196" customFormat="1" ht="14.25" customHeight="1">
      <c r="A285" s="3207" t="s">
        <v>306</v>
      </c>
      <c r="B285" s="3207" t="s">
        <v>192</v>
      </c>
      <c r="C285" s="3207">
        <v>5340</v>
      </c>
      <c r="D285" s="3207">
        <v>5290</v>
      </c>
      <c r="E285" s="3207">
        <v>6170</v>
      </c>
      <c r="F285" s="3207">
        <v>1080</v>
      </c>
      <c r="G285" s="3220">
        <v>3180</v>
      </c>
    </row>
    <row r="286" spans="1:7" s="3196" customFormat="1" ht="14.25" customHeight="1">
      <c r="A286" s="3207" t="s">
        <v>306</v>
      </c>
      <c r="B286" s="3207" t="s">
        <v>199</v>
      </c>
      <c r="C286" s="3207">
        <v>4890</v>
      </c>
      <c r="D286" s="3207">
        <v>4840</v>
      </c>
      <c r="E286" s="3207">
        <v>5640</v>
      </c>
      <c r="F286" s="3207">
        <v>960</v>
      </c>
      <c r="G286" s="3220">
        <v>2910</v>
      </c>
    </row>
    <row r="287" spans="1:7" s="3196" customFormat="1" ht="14.25" customHeight="1">
      <c r="A287" s="3207" t="s">
        <v>306</v>
      </c>
      <c r="B287" s="3207" t="s">
        <v>3116</v>
      </c>
      <c r="C287" s="3207">
        <v>4960</v>
      </c>
      <c r="D287" s="3207">
        <v>4920</v>
      </c>
      <c r="E287" s="3207">
        <v>5730</v>
      </c>
      <c r="F287" s="3207">
        <v>930</v>
      </c>
      <c r="G287" s="3220">
        <v>2960</v>
      </c>
    </row>
    <row r="288" spans="1:7" s="3196" customFormat="1" ht="14.25" customHeight="1">
      <c r="A288" s="3207" t="s">
        <v>306</v>
      </c>
      <c r="B288" s="3207" t="s">
        <v>219</v>
      </c>
      <c r="C288" s="3207">
        <v>4350</v>
      </c>
      <c r="D288" s="3207">
        <v>4300</v>
      </c>
      <c r="E288" s="3207">
        <v>4900</v>
      </c>
      <c r="F288" s="3207">
        <v>820</v>
      </c>
      <c r="G288" s="3220">
        <v>2590</v>
      </c>
    </row>
    <row r="289" spans="1:7" s="3196" customFormat="1" ht="14.25" customHeight="1">
      <c r="A289" s="3207" t="s">
        <v>306</v>
      </c>
      <c r="B289" s="3207" t="s">
        <v>3117</v>
      </c>
      <c r="C289" s="3207">
        <v>5230</v>
      </c>
      <c r="D289" s="3207">
        <v>5170</v>
      </c>
      <c r="E289" s="3207">
        <v>6060</v>
      </c>
      <c r="F289" s="3207">
        <v>900</v>
      </c>
      <c r="G289" s="3220">
        <v>3120</v>
      </c>
    </row>
    <row r="290" spans="1:7" s="3196" customFormat="1" ht="14.25" customHeight="1">
      <c r="A290" s="3207" t="s">
        <v>306</v>
      </c>
      <c r="B290" s="3207" t="s">
        <v>242</v>
      </c>
      <c r="C290" s="3207">
        <v>5550</v>
      </c>
      <c r="D290" s="3207">
        <v>5500</v>
      </c>
      <c r="E290" s="3207">
        <v>6440</v>
      </c>
      <c r="F290" s="3207">
        <v>960</v>
      </c>
      <c r="G290" s="3220">
        <v>3320</v>
      </c>
    </row>
    <row r="291" spans="1:7" s="3196" customFormat="1" ht="14.25" customHeight="1">
      <c r="A291" s="3207" t="s">
        <v>306</v>
      </c>
      <c r="B291" s="3207" t="s">
        <v>250</v>
      </c>
      <c r="C291" s="3207">
        <v>5440</v>
      </c>
      <c r="D291" s="3207">
        <v>5400</v>
      </c>
      <c r="E291" s="3207">
        <v>6320</v>
      </c>
      <c r="F291" s="3207">
        <v>930</v>
      </c>
      <c r="G291" s="3220">
        <v>3250</v>
      </c>
    </row>
    <row r="292" spans="1:7" s="3196" customFormat="1" ht="14.25" customHeight="1">
      <c r="A292" s="3207" t="s">
        <v>306</v>
      </c>
      <c r="B292" s="3207" t="s">
        <v>256</v>
      </c>
      <c r="C292" s="3207">
        <v>5400</v>
      </c>
      <c r="D292" s="3207">
        <v>5360</v>
      </c>
      <c r="E292" s="3207">
        <v>6270</v>
      </c>
      <c r="F292" s="3207">
        <v>1040</v>
      </c>
      <c r="G292" s="3220">
        <v>3230</v>
      </c>
    </row>
    <row r="293" spans="1:7" s="3196" customFormat="1" ht="14.25" customHeight="1">
      <c r="A293" s="3207" t="s">
        <v>306</v>
      </c>
      <c r="B293" s="3207" t="s">
        <v>2892</v>
      </c>
      <c r="C293" s="3207">
        <v>5320</v>
      </c>
      <c r="D293" s="3207">
        <v>5270</v>
      </c>
      <c r="E293" s="3207">
        <v>6160</v>
      </c>
      <c r="F293" s="3207">
        <v>990</v>
      </c>
      <c r="G293" s="3220">
        <v>3170</v>
      </c>
    </row>
    <row r="294" spans="1:7" s="3196" customFormat="1" ht="14.25" customHeight="1">
      <c r="A294" s="3207" t="s">
        <v>306</v>
      </c>
      <c r="B294" s="3207" t="s">
        <v>3118</v>
      </c>
      <c r="C294" s="3207">
        <v>5260</v>
      </c>
      <c r="D294" s="3207">
        <v>5210</v>
      </c>
      <c r="E294" s="3207">
        <v>6100</v>
      </c>
      <c r="F294" s="3207">
        <v>950</v>
      </c>
      <c r="G294" s="3220">
        <v>3150</v>
      </c>
    </row>
    <row r="295" spans="1:7" s="3196" customFormat="1" ht="14.25" customHeight="1">
      <c r="A295" s="3207" t="s">
        <v>306</v>
      </c>
      <c r="B295" s="3207" t="s">
        <v>290</v>
      </c>
      <c r="C295" s="3207">
        <v>5610</v>
      </c>
      <c r="D295" s="3207">
        <v>5570</v>
      </c>
      <c r="E295" s="3207">
        <v>6530</v>
      </c>
      <c r="F295" s="3207">
        <v>960</v>
      </c>
      <c r="G295" s="3220">
        <v>3360</v>
      </c>
    </row>
    <row r="296" spans="1:7" s="3196" customFormat="1" ht="14.25" customHeight="1">
      <c r="A296" s="3207" t="s">
        <v>306</v>
      </c>
      <c r="B296" s="3207" t="s">
        <v>293</v>
      </c>
      <c r="C296" s="3207">
        <v>5540</v>
      </c>
      <c r="D296" s="3207">
        <v>5490</v>
      </c>
      <c r="E296" s="3207">
        <v>6430</v>
      </c>
      <c r="F296" s="3207">
        <v>980</v>
      </c>
      <c r="G296" s="3220">
        <v>3310</v>
      </c>
    </row>
    <row r="297" spans="1:7" s="3196" customFormat="1" ht="14.25" customHeight="1">
      <c r="A297" s="3207" t="s">
        <v>306</v>
      </c>
      <c r="B297" s="3207" t="s">
        <v>295</v>
      </c>
      <c r="C297" s="3207">
        <v>5480</v>
      </c>
      <c r="D297" s="3207">
        <v>5420</v>
      </c>
      <c r="E297" s="3207">
        <v>6370</v>
      </c>
      <c r="F297" s="3207">
        <v>990</v>
      </c>
      <c r="G297" s="3220">
        <v>3270</v>
      </c>
    </row>
    <row r="298" spans="1:7" s="3196" customFormat="1" ht="14.25" customHeight="1">
      <c r="A298" s="3207" t="s">
        <v>306</v>
      </c>
      <c r="B298" s="3207" t="s">
        <v>298</v>
      </c>
      <c r="C298" s="3207">
        <v>5090</v>
      </c>
      <c r="D298" s="3207">
        <v>5050</v>
      </c>
      <c r="E298" s="3207">
        <v>5910</v>
      </c>
      <c r="F298" s="3207">
        <v>900</v>
      </c>
      <c r="G298" s="3220">
        <v>3040</v>
      </c>
    </row>
    <row r="299" spans="1:7" s="3196" customFormat="1" ht="14.25" customHeight="1">
      <c r="A299" s="3207" t="s">
        <v>306</v>
      </c>
      <c r="B299" s="3216" t="s">
        <v>2911</v>
      </c>
      <c r="C299" s="3207">
        <v>5430</v>
      </c>
      <c r="D299" s="3207">
        <v>5380</v>
      </c>
      <c r="E299" s="3207">
        <v>6280</v>
      </c>
      <c r="F299" s="3207">
        <v>1000</v>
      </c>
      <c r="G299" s="3220">
        <v>3240</v>
      </c>
    </row>
    <row r="300" spans="1:7" s="3196" customFormat="1" ht="14.25" customHeight="1">
      <c r="A300" s="3207" t="s">
        <v>306</v>
      </c>
      <c r="B300" s="3216" t="s">
        <v>271</v>
      </c>
      <c r="C300" s="3207">
        <v>4740</v>
      </c>
      <c r="D300" s="3207">
        <v>4680</v>
      </c>
      <c r="E300" s="3207">
        <v>5450</v>
      </c>
      <c r="F300" s="3207">
        <v>900</v>
      </c>
      <c r="G300" s="3220">
        <v>2830</v>
      </c>
    </row>
    <row r="301" spans="1:7" s="3196" customFormat="1" ht="14.25" customHeight="1">
      <c r="A301" s="3207" t="s">
        <v>306</v>
      </c>
      <c r="B301" s="3216" t="s">
        <v>276</v>
      </c>
      <c r="C301" s="3207">
        <v>4870</v>
      </c>
      <c r="D301" s="3207">
        <v>4810</v>
      </c>
      <c r="E301" s="3207">
        <v>5560</v>
      </c>
      <c r="F301" s="3207">
        <v>990</v>
      </c>
      <c r="G301" s="3220">
        <v>2910</v>
      </c>
    </row>
    <row r="302" spans="1:7" s="3196" customFormat="1" ht="14.25" customHeight="1">
      <c r="A302" s="3207" t="s">
        <v>306</v>
      </c>
      <c r="B302" s="3207" t="s">
        <v>3119</v>
      </c>
      <c r="C302" s="3207">
        <v>5520</v>
      </c>
      <c r="D302" s="3207">
        <v>5470</v>
      </c>
      <c r="E302" s="3207">
        <v>6410</v>
      </c>
      <c r="F302" s="3207">
        <v>950</v>
      </c>
      <c r="G302" s="3220">
        <v>3300</v>
      </c>
    </row>
    <row r="303" spans="1:7" s="3196" customFormat="1" ht="14.25" customHeight="1">
      <c r="A303" s="3207" t="s">
        <v>306</v>
      </c>
      <c r="B303" s="3207" t="s">
        <v>2931</v>
      </c>
      <c r="C303" s="3207">
        <v>5630</v>
      </c>
      <c r="D303" s="3207">
        <v>5590</v>
      </c>
      <c r="E303" s="3207">
        <v>6550</v>
      </c>
      <c r="F303" s="3207">
        <v>1010</v>
      </c>
      <c r="G303" s="3220">
        <v>3370</v>
      </c>
    </row>
    <row r="304" spans="1:7" s="3196" customFormat="1" ht="14.25" customHeight="1">
      <c r="A304" s="3207" t="s">
        <v>306</v>
      </c>
      <c r="B304" s="3207" t="s">
        <v>2938</v>
      </c>
      <c r="C304" s="3207">
        <v>5680</v>
      </c>
      <c r="D304" s="3207">
        <v>5620</v>
      </c>
      <c r="E304" s="3207">
        <v>6620</v>
      </c>
      <c r="F304" s="3207">
        <v>1050</v>
      </c>
      <c r="G304" s="3220">
        <v>3390</v>
      </c>
    </row>
    <row r="305" spans="1:7" s="3196" customFormat="1" ht="14.25" customHeight="1">
      <c r="A305" s="3207" t="s">
        <v>306</v>
      </c>
      <c r="B305" s="3207" t="s">
        <v>2944</v>
      </c>
      <c r="C305" s="3207">
        <v>5590</v>
      </c>
      <c r="D305" s="3207">
        <v>5530</v>
      </c>
      <c r="E305" s="3207">
        <v>6460</v>
      </c>
      <c r="F305" s="3207">
        <v>900</v>
      </c>
      <c r="G305" s="3220">
        <v>3340</v>
      </c>
    </row>
    <row r="306" spans="1:7" s="3196" customFormat="1" ht="14.25" customHeight="1">
      <c r="A306" s="3207" t="s">
        <v>306</v>
      </c>
      <c r="B306" s="3207" t="s">
        <v>3120</v>
      </c>
      <c r="C306" s="3207">
        <v>5560</v>
      </c>
      <c r="D306" s="3207">
        <v>5510</v>
      </c>
      <c r="E306" s="3207">
        <v>6440</v>
      </c>
      <c r="F306" s="3207">
        <v>900</v>
      </c>
      <c r="G306" s="3220">
        <v>3320</v>
      </c>
    </row>
    <row r="307" spans="1:7" s="3196" customFormat="1" ht="14.25" customHeight="1">
      <c r="A307" s="3207" t="s">
        <v>306</v>
      </c>
      <c r="B307" s="3207" t="s">
        <v>2956</v>
      </c>
      <c r="C307" s="3207">
        <v>5650</v>
      </c>
      <c r="D307" s="3207">
        <v>5600</v>
      </c>
      <c r="E307" s="3207">
        <v>6590</v>
      </c>
      <c r="F307" s="3207">
        <v>930</v>
      </c>
      <c r="G307" s="3220">
        <v>3380</v>
      </c>
    </row>
    <row r="308" spans="1:7" s="3196" customFormat="1" ht="14.25" customHeight="1">
      <c r="A308" s="3207" t="s">
        <v>306</v>
      </c>
      <c r="B308" s="3207" t="s">
        <v>3121</v>
      </c>
      <c r="C308" s="3207">
        <v>5620</v>
      </c>
      <c r="D308" s="3207">
        <v>5580</v>
      </c>
      <c r="E308" s="3207">
        <v>6540</v>
      </c>
      <c r="F308" s="3207">
        <v>910</v>
      </c>
      <c r="G308" s="3220">
        <v>3370</v>
      </c>
    </row>
    <row r="309" spans="1:7" s="3196" customFormat="1" ht="14.25" customHeight="1">
      <c r="A309" s="3207" t="s">
        <v>306</v>
      </c>
      <c r="B309" s="3207" t="s">
        <v>3122</v>
      </c>
      <c r="C309" s="3207">
        <v>5060</v>
      </c>
      <c r="D309" s="3207">
        <v>5020</v>
      </c>
      <c r="E309" s="3207">
        <v>6370</v>
      </c>
      <c r="F309" s="3207">
        <v>800</v>
      </c>
      <c r="G309" s="3220">
        <v>3020</v>
      </c>
    </row>
    <row r="310" spans="1:7" s="3196" customFormat="1" ht="14.25" customHeight="1">
      <c r="A310" s="3207" t="s">
        <v>306</v>
      </c>
      <c r="B310" s="3207" t="s">
        <v>2971</v>
      </c>
      <c r="C310" s="3207">
        <v>5150</v>
      </c>
      <c r="D310" s="3207">
        <v>5110</v>
      </c>
      <c r="E310" s="3207">
        <v>6500</v>
      </c>
      <c r="F310" s="3207">
        <v>880</v>
      </c>
      <c r="G310" s="3220">
        <v>3080</v>
      </c>
    </row>
    <row r="311" spans="1:7" s="3196" customFormat="1" ht="14.25" customHeight="1">
      <c r="A311" s="3207" t="s">
        <v>306</v>
      </c>
      <c r="B311" s="3207" t="s">
        <v>3123</v>
      </c>
      <c r="C311" s="3207">
        <v>4750</v>
      </c>
      <c r="D311" s="3207">
        <v>4710</v>
      </c>
      <c r="E311" s="3207">
        <v>5510</v>
      </c>
      <c r="F311" s="3207">
        <v>880</v>
      </c>
      <c r="G311" s="3220">
        <v>2840</v>
      </c>
    </row>
    <row r="312" spans="1:7" s="3196" customFormat="1" ht="14.25" customHeight="1">
      <c r="A312" s="3207" t="s">
        <v>306</v>
      </c>
      <c r="B312" s="3207" t="s">
        <v>2981</v>
      </c>
      <c r="C312" s="3207">
        <v>4690</v>
      </c>
      <c r="D312" s="3207">
        <v>4640</v>
      </c>
      <c r="E312" s="3207">
        <v>5420</v>
      </c>
      <c r="F312" s="3207">
        <v>800</v>
      </c>
      <c r="G312" s="3220">
        <v>2800</v>
      </c>
    </row>
    <row r="313" spans="1:7" s="3196" customFormat="1" ht="14.25" customHeight="1">
      <c r="A313" s="3207" t="s">
        <v>306</v>
      </c>
      <c r="B313" s="3207" t="s">
        <v>2986</v>
      </c>
      <c r="C313" s="3207">
        <v>4810</v>
      </c>
      <c r="D313" s="3207">
        <v>4760</v>
      </c>
      <c r="E313" s="3207">
        <v>5550</v>
      </c>
      <c r="F313" s="3207">
        <v>920</v>
      </c>
      <c r="G313" s="3220">
        <v>2870</v>
      </c>
    </row>
    <row r="314" spans="1:7" s="3196" customFormat="1" ht="14.25" customHeight="1">
      <c r="A314" s="3207" t="s">
        <v>306</v>
      </c>
      <c r="B314" s="3207" t="s">
        <v>3124</v>
      </c>
      <c r="C314" s="3207"/>
      <c r="D314" s="3207"/>
      <c r="E314" s="3207"/>
      <c r="F314" s="3207">
        <v>1020</v>
      </c>
      <c r="G314" s="3220"/>
    </row>
    <row r="315" spans="1:7" s="3196" customFormat="1" ht="14.25" customHeight="1">
      <c r="A315" s="3207" t="s">
        <v>306</v>
      </c>
      <c r="B315" s="3207" t="s">
        <v>3125</v>
      </c>
      <c r="C315" s="3207"/>
      <c r="D315" s="3207"/>
      <c r="E315" s="3207"/>
      <c r="F315" s="3207">
        <v>1050</v>
      </c>
      <c r="G315" s="3220"/>
    </row>
    <row r="316" spans="1:7" s="3196" customFormat="1" ht="14.25" customHeight="1">
      <c r="A316" s="3207" t="s">
        <v>306</v>
      </c>
      <c r="B316" s="3207" t="s">
        <v>3001</v>
      </c>
      <c r="C316" s="3207"/>
      <c r="D316" s="3207"/>
      <c r="E316" s="3207"/>
      <c r="F316" s="3207">
        <v>900</v>
      </c>
      <c r="G316" s="3220"/>
    </row>
    <row r="317" spans="1:7" s="3196" customFormat="1" ht="14.25" customHeight="1">
      <c r="A317" s="3207" t="s">
        <v>306</v>
      </c>
      <c r="B317" s="3207" t="s">
        <v>3126</v>
      </c>
      <c r="C317" s="3207"/>
      <c r="D317" s="3207"/>
      <c r="E317" s="3207"/>
      <c r="F317" s="3207">
        <v>920</v>
      </c>
      <c r="G317" s="3220"/>
    </row>
    <row r="318" spans="1:7" s="3196" customFormat="1" ht="14.25" customHeight="1">
      <c r="A318" s="3207" t="s">
        <v>306</v>
      </c>
      <c r="B318" s="3207" t="s">
        <v>3127</v>
      </c>
      <c r="C318" s="3207"/>
      <c r="D318" s="3207"/>
      <c r="E318" s="3207"/>
      <c r="F318" s="3207">
        <v>1080</v>
      </c>
      <c r="G318" s="3220"/>
    </row>
    <row r="319" spans="1:7" s="3196" customFormat="1" ht="14.25" customHeight="1">
      <c r="A319" s="3207" t="s">
        <v>306</v>
      </c>
      <c r="B319" s="3207" t="s">
        <v>3014</v>
      </c>
      <c r="C319" s="3207"/>
      <c r="D319" s="3207"/>
      <c r="E319" s="3207"/>
      <c r="F319" s="3207">
        <v>1020</v>
      </c>
      <c r="G319" s="3220"/>
    </row>
    <row r="320" spans="1:7" s="3196" customFormat="1" ht="14.25" customHeight="1">
      <c r="A320" s="3207" t="s">
        <v>306</v>
      </c>
      <c r="B320" s="3207" t="s">
        <v>3017</v>
      </c>
      <c r="C320" s="3207"/>
      <c r="D320" s="3207"/>
      <c r="E320" s="3207"/>
      <c r="F320" s="3207">
        <v>1050</v>
      </c>
      <c r="G320" s="3220"/>
    </row>
    <row r="321" spans="1:7" s="3196" customFormat="1" ht="14.25" customHeight="1">
      <c r="A321" s="3207" t="s">
        <v>306</v>
      </c>
      <c r="B321" s="3207" t="s">
        <v>3019</v>
      </c>
      <c r="C321" s="3207"/>
      <c r="D321" s="3207"/>
      <c r="E321" s="3207"/>
      <c r="F321" s="3207">
        <v>960</v>
      </c>
      <c r="G321" s="3220"/>
    </row>
    <row r="322" spans="1:7" s="3196" customFormat="1" ht="14.25" customHeight="1">
      <c r="A322" s="3207" t="s">
        <v>306</v>
      </c>
      <c r="B322" s="3207" t="s">
        <v>3021</v>
      </c>
      <c r="C322" s="3207"/>
      <c r="D322" s="3207"/>
      <c r="E322" s="3207"/>
      <c r="F322" s="3207">
        <v>960</v>
      </c>
      <c r="G322" s="3220"/>
    </row>
    <row r="323" spans="1:7" s="3196" customFormat="1" ht="14.25" customHeight="1">
      <c r="A323" s="3207" t="s">
        <v>306</v>
      </c>
      <c r="B323" s="3207" t="s">
        <v>3023</v>
      </c>
      <c r="C323" s="3207"/>
      <c r="D323" s="3207"/>
      <c r="E323" s="3207"/>
      <c r="F323" s="3207">
        <v>880</v>
      </c>
      <c r="G323" s="3220"/>
    </row>
    <row r="324" spans="1:7" s="3196" customFormat="1" ht="14.25" customHeight="1">
      <c r="A324" s="3207" t="s">
        <v>306</v>
      </c>
      <c r="B324" s="3207" t="s">
        <v>3025</v>
      </c>
      <c r="C324" s="3207"/>
      <c r="D324" s="3207"/>
      <c r="E324" s="3207"/>
      <c r="F324" s="3207">
        <v>930</v>
      </c>
      <c r="G324" s="3220"/>
    </row>
    <row r="325" spans="1:7" s="3196" customFormat="1" ht="14.25" customHeight="1">
      <c r="A325" s="3207" t="s">
        <v>306</v>
      </c>
      <c r="B325" s="3208" t="s">
        <v>3027</v>
      </c>
      <c r="C325" s="3207"/>
      <c r="D325" s="3207"/>
      <c r="E325" s="3207"/>
      <c r="F325" s="3207">
        <v>900</v>
      </c>
      <c r="G325" s="3220"/>
    </row>
    <row r="326" spans="1:7" s="3196" customFormat="1" ht="14.25" customHeight="1" thickBot="1">
      <c r="A326" s="3221" t="s">
        <v>306</v>
      </c>
      <c r="B326" s="3214" t="s">
        <v>3029</v>
      </c>
      <c r="C326" s="3214"/>
      <c r="D326" s="3214"/>
      <c r="E326" s="3214"/>
      <c r="F326" s="3214">
        <v>790</v>
      </c>
      <c r="G326" s="3222"/>
    </row>
    <row r="327" spans="1:7" s="3196" customFormat="1" ht="14.25" customHeight="1">
      <c r="A327" s="3212" t="s">
        <v>307</v>
      </c>
      <c r="B327" s="3203" t="s">
        <v>3128</v>
      </c>
      <c r="C327" s="3207">
        <v>3750</v>
      </c>
      <c r="D327" s="3207">
        <v>3710</v>
      </c>
      <c r="E327" s="3207">
        <v>4080</v>
      </c>
      <c r="F327" s="3207">
        <v>860</v>
      </c>
      <c r="G327" s="3207">
        <v>2210</v>
      </c>
    </row>
    <row r="328" spans="1:7" s="3196" customFormat="1" ht="14.25" customHeight="1">
      <c r="A328" s="3207" t="s">
        <v>307</v>
      </c>
      <c r="B328" s="3207" t="s">
        <v>136</v>
      </c>
      <c r="C328" s="3207">
        <v>3330</v>
      </c>
      <c r="D328" s="3207">
        <v>3290</v>
      </c>
      <c r="E328" s="3207">
        <v>3610</v>
      </c>
      <c r="F328" s="3207">
        <v>850</v>
      </c>
      <c r="G328" s="3207">
        <v>1960</v>
      </c>
    </row>
    <row r="329" spans="1:7" s="3196" customFormat="1" ht="14.25" customHeight="1">
      <c r="A329" s="3207" t="s">
        <v>307</v>
      </c>
      <c r="B329" s="3207" t="s">
        <v>3129</v>
      </c>
      <c r="C329" s="3207">
        <v>2730</v>
      </c>
      <c r="D329" s="3207">
        <v>2690</v>
      </c>
      <c r="E329" s="3207">
        <v>3100</v>
      </c>
      <c r="F329" s="3207">
        <v>660</v>
      </c>
      <c r="G329" s="3207">
        <v>1610</v>
      </c>
    </row>
    <row r="330" spans="1:7" s="3196" customFormat="1" ht="14.25" customHeight="1">
      <c r="A330" s="3207" t="s">
        <v>307</v>
      </c>
      <c r="B330" s="3207" t="s">
        <v>3130</v>
      </c>
      <c r="C330" s="3207">
        <v>3270</v>
      </c>
      <c r="D330" s="3207">
        <v>3240</v>
      </c>
      <c r="E330" s="3207">
        <v>3560</v>
      </c>
      <c r="F330" s="3207">
        <v>680</v>
      </c>
      <c r="G330" s="3207">
        <v>1940</v>
      </c>
    </row>
    <row r="331" spans="1:7" s="3196" customFormat="1" ht="14.25" customHeight="1">
      <c r="A331" s="3207" t="s">
        <v>307</v>
      </c>
      <c r="B331" s="3207" t="s">
        <v>161</v>
      </c>
      <c r="C331" s="3207">
        <v>3770</v>
      </c>
      <c r="D331" s="3207">
        <v>3740</v>
      </c>
      <c r="E331" s="3207">
        <v>4110</v>
      </c>
      <c r="F331" s="3207">
        <v>730</v>
      </c>
      <c r="G331" s="3207">
        <v>2230</v>
      </c>
    </row>
    <row r="332" spans="1:7" s="3196" customFormat="1" ht="14.25" customHeight="1">
      <c r="A332" s="3207" t="s">
        <v>307</v>
      </c>
      <c r="B332" s="3207" t="s">
        <v>2863</v>
      </c>
      <c r="C332" s="3207">
        <v>3520</v>
      </c>
      <c r="D332" s="3207">
        <v>3480</v>
      </c>
      <c r="E332" s="3207">
        <v>3830</v>
      </c>
      <c r="F332" s="3207">
        <v>720</v>
      </c>
      <c r="G332" s="3207">
        <v>2090</v>
      </c>
    </row>
    <row r="333" spans="1:7" s="3196" customFormat="1" ht="14.25" customHeight="1">
      <c r="A333" s="3207" t="s">
        <v>307</v>
      </c>
      <c r="B333" s="3207" t="s">
        <v>3131</v>
      </c>
      <c r="C333" s="3207">
        <v>3840</v>
      </c>
      <c r="D333" s="3207">
        <v>3800</v>
      </c>
      <c r="E333" s="3207">
        <v>4200</v>
      </c>
      <c r="F333" s="3207">
        <v>760</v>
      </c>
      <c r="G333" s="3207">
        <v>2270</v>
      </c>
    </row>
    <row r="334" spans="1:7" s="3196" customFormat="1" ht="14.25" customHeight="1">
      <c r="A334" s="3207" t="s">
        <v>307</v>
      </c>
      <c r="B334" s="3207" t="s">
        <v>183</v>
      </c>
      <c r="C334" s="3207">
        <v>3960</v>
      </c>
      <c r="D334" s="3207">
        <v>3910</v>
      </c>
      <c r="E334" s="3207">
        <v>4340</v>
      </c>
      <c r="F334" s="3207">
        <v>780</v>
      </c>
      <c r="G334" s="3207">
        <v>2340</v>
      </c>
    </row>
    <row r="335" spans="1:7" s="3196" customFormat="1" ht="14.25" customHeight="1">
      <c r="A335" s="3207" t="s">
        <v>307</v>
      </c>
      <c r="B335" s="3207" t="s">
        <v>193</v>
      </c>
      <c r="C335" s="3207">
        <v>3710</v>
      </c>
      <c r="D335" s="3207">
        <v>3670</v>
      </c>
      <c r="E335" s="3207">
        <v>4030</v>
      </c>
      <c r="F335" s="3207">
        <v>750</v>
      </c>
      <c r="G335" s="3207">
        <v>2200</v>
      </c>
    </row>
    <row r="336" spans="1:7" s="3196" customFormat="1" ht="14.25" customHeight="1">
      <c r="A336" s="3207" t="s">
        <v>307</v>
      </c>
      <c r="B336" s="3207" t="s">
        <v>2873</v>
      </c>
      <c r="C336" s="3207">
        <v>3570</v>
      </c>
      <c r="D336" s="3207">
        <v>3530</v>
      </c>
      <c r="E336" s="3207">
        <v>3880</v>
      </c>
      <c r="F336" s="3207">
        <v>770</v>
      </c>
      <c r="G336" s="3207">
        <v>2110</v>
      </c>
    </row>
    <row r="337" spans="1:10" s="3196" customFormat="1" ht="14.25" customHeight="1">
      <c r="A337" s="3207" t="s">
        <v>307</v>
      </c>
      <c r="B337" s="3207" t="s">
        <v>3132</v>
      </c>
      <c r="C337" s="3207">
        <v>3780</v>
      </c>
      <c r="D337" s="3207">
        <v>3750</v>
      </c>
      <c r="E337" s="3207">
        <v>4130</v>
      </c>
      <c r="F337" s="3207">
        <v>750</v>
      </c>
      <c r="G337" s="3207">
        <v>2240</v>
      </c>
    </row>
    <row r="338" spans="1:10" s="3196" customFormat="1" ht="14.25" customHeight="1">
      <c r="A338" s="3207" t="s">
        <v>307</v>
      </c>
      <c r="B338" s="3207" t="s">
        <v>220</v>
      </c>
      <c r="C338" s="3207">
        <v>3600</v>
      </c>
      <c r="D338" s="3207">
        <v>3570</v>
      </c>
      <c r="E338" s="3207">
        <v>3920</v>
      </c>
      <c r="F338" s="3207">
        <v>790</v>
      </c>
      <c r="G338" s="3207">
        <v>2140</v>
      </c>
    </row>
    <row r="339" spans="1:10" s="3196" customFormat="1" ht="14.25" customHeight="1">
      <c r="A339" s="3207" t="s">
        <v>307</v>
      </c>
      <c r="B339" s="3207" t="s">
        <v>228</v>
      </c>
      <c r="C339" s="3207">
        <v>3540</v>
      </c>
      <c r="D339" s="3207">
        <v>3500</v>
      </c>
      <c r="E339" s="3207">
        <v>3850</v>
      </c>
      <c r="F339" s="3207">
        <v>780</v>
      </c>
      <c r="G339" s="3207">
        <v>2100</v>
      </c>
    </row>
    <row r="340" spans="1:10" s="3196" customFormat="1" ht="14.25" customHeight="1">
      <c r="A340" s="3207" t="s">
        <v>307</v>
      </c>
      <c r="B340" s="3207" t="s">
        <v>3133</v>
      </c>
      <c r="C340" s="3207">
        <v>3850</v>
      </c>
      <c r="D340" s="3207">
        <v>3810</v>
      </c>
      <c r="E340" s="3207">
        <v>4210</v>
      </c>
      <c r="F340" s="3207">
        <v>750</v>
      </c>
      <c r="G340" s="3207">
        <v>2280</v>
      </c>
    </row>
    <row r="341" spans="1:10" s="3196" customFormat="1" ht="14.25" customHeight="1">
      <c r="A341" s="3207" t="s">
        <v>307</v>
      </c>
      <c r="B341" s="3207" t="s">
        <v>207</v>
      </c>
      <c r="C341" s="3207">
        <v>3780</v>
      </c>
      <c r="D341" s="3207">
        <v>3750</v>
      </c>
      <c r="E341" s="3207">
        <v>4140</v>
      </c>
      <c r="F341" s="3207">
        <v>720</v>
      </c>
      <c r="G341" s="3207">
        <v>2240</v>
      </c>
    </row>
    <row r="342" spans="1:10" s="3196" customFormat="1" ht="14.25" customHeight="1">
      <c r="A342" s="3207" t="s">
        <v>307</v>
      </c>
      <c r="B342" s="3207" t="s">
        <v>3134</v>
      </c>
      <c r="C342" s="3207">
        <v>3670</v>
      </c>
      <c r="D342" s="3207">
        <v>3620</v>
      </c>
      <c r="E342" s="3207">
        <v>3990</v>
      </c>
      <c r="F342" s="3207">
        <v>760</v>
      </c>
      <c r="G342" s="3207">
        <v>2170</v>
      </c>
    </row>
    <row r="343" spans="1:10" s="3196" customFormat="1" ht="14.25" customHeight="1">
      <c r="A343" s="3207" t="s">
        <v>307</v>
      </c>
      <c r="B343" s="3207" t="s">
        <v>257</v>
      </c>
      <c r="C343" s="3207">
        <v>3760</v>
      </c>
      <c r="D343" s="3207">
        <v>3720</v>
      </c>
      <c r="E343" s="3207">
        <v>4090</v>
      </c>
      <c r="F343" s="3207">
        <v>780</v>
      </c>
      <c r="G343" s="3207">
        <v>2220</v>
      </c>
    </row>
    <row r="344" spans="1:10" s="3196" customFormat="1" ht="14.25" customHeight="1">
      <c r="A344" s="3207" t="s">
        <v>307</v>
      </c>
      <c r="B344" s="3207" t="s">
        <v>265</v>
      </c>
      <c r="C344" s="3207">
        <v>3680</v>
      </c>
      <c r="D344" s="3207">
        <v>3640</v>
      </c>
      <c r="E344" s="3207">
        <v>4010</v>
      </c>
      <c r="F344" s="3207">
        <v>750</v>
      </c>
      <c r="G344" s="3207">
        <v>2180</v>
      </c>
    </row>
    <row r="345" spans="1:10">
      <c r="A345" s="3207" t="s">
        <v>307</v>
      </c>
      <c r="B345" s="3207" t="s">
        <v>2898</v>
      </c>
      <c r="C345" s="3207">
        <v>3190</v>
      </c>
      <c r="D345" s="3207">
        <v>3140</v>
      </c>
      <c r="E345" s="3207">
        <v>3450</v>
      </c>
      <c r="F345" s="3207">
        <v>720</v>
      </c>
      <c r="G345" s="3207">
        <v>1880</v>
      </c>
      <c r="J345" s="3196"/>
    </row>
    <row r="346" spans="1:10">
      <c r="A346" s="3207" t="s">
        <v>307</v>
      </c>
      <c r="B346" s="3207" t="s">
        <v>3135</v>
      </c>
      <c r="C346" s="3207">
        <v>3630</v>
      </c>
      <c r="D346" s="3207">
        <v>3590</v>
      </c>
      <c r="E346" s="3207">
        <v>3940</v>
      </c>
      <c r="F346" s="3207">
        <v>730</v>
      </c>
      <c r="G346" s="3207">
        <v>2150</v>
      </c>
      <c r="J346" s="3196"/>
    </row>
    <row r="347" spans="1:10">
      <c r="A347" s="3207" t="s">
        <v>307</v>
      </c>
      <c r="B347" s="3207" t="s">
        <v>243</v>
      </c>
      <c r="C347" s="3207">
        <v>3860</v>
      </c>
      <c r="D347" s="3207">
        <v>3820</v>
      </c>
      <c r="E347" s="3207">
        <v>4220</v>
      </c>
      <c r="F347" s="3207">
        <v>750</v>
      </c>
      <c r="G347" s="3207">
        <v>2280</v>
      </c>
      <c r="J347" s="3196"/>
    </row>
    <row r="348" spans="1:10">
      <c r="A348" s="3207" t="s">
        <v>307</v>
      </c>
      <c r="B348" s="3207" t="s">
        <v>2907</v>
      </c>
      <c r="C348" s="3207">
        <v>4000</v>
      </c>
      <c r="D348" s="3207">
        <v>3950</v>
      </c>
      <c r="E348" s="3207">
        <v>4430</v>
      </c>
      <c r="F348" s="3207">
        <v>760</v>
      </c>
      <c r="G348" s="3207">
        <v>2360</v>
      </c>
      <c r="J348" s="3196"/>
    </row>
    <row r="349" spans="1:10">
      <c r="A349" s="3207" t="s">
        <v>307</v>
      </c>
      <c r="B349" s="3207" t="s">
        <v>2912</v>
      </c>
      <c r="C349" s="3207">
        <v>3820</v>
      </c>
      <c r="D349" s="3207">
        <v>3780</v>
      </c>
      <c r="E349" s="3207">
        <v>4170</v>
      </c>
      <c r="F349" s="3207">
        <v>710</v>
      </c>
      <c r="G349" s="3207">
        <v>2260</v>
      </c>
      <c r="J349" s="3196"/>
    </row>
    <row r="350" spans="1:10">
      <c r="A350" s="3207" t="s">
        <v>307</v>
      </c>
      <c r="B350" s="3207" t="s">
        <v>3136</v>
      </c>
      <c r="C350" s="3207">
        <v>3760</v>
      </c>
      <c r="D350" s="3207">
        <v>3730</v>
      </c>
      <c r="E350" s="3207">
        <v>4100</v>
      </c>
      <c r="F350" s="3207">
        <v>800</v>
      </c>
      <c r="G350" s="3207">
        <v>2230</v>
      </c>
      <c r="J350" s="3196"/>
    </row>
    <row r="351" spans="1:10">
      <c r="A351" s="3207" t="s">
        <v>307</v>
      </c>
      <c r="B351" s="3207" t="s">
        <v>2920</v>
      </c>
      <c r="C351" s="3207">
        <v>3610</v>
      </c>
      <c r="D351" s="3207">
        <v>3580</v>
      </c>
      <c r="E351" s="3207">
        <v>3930</v>
      </c>
      <c r="F351" s="3207">
        <v>700</v>
      </c>
      <c r="G351" s="3207">
        <v>2140</v>
      </c>
      <c r="J351" s="3196"/>
    </row>
    <row r="352" spans="1:10">
      <c r="A352" s="3207" t="s">
        <v>307</v>
      </c>
      <c r="B352" s="3207" t="s">
        <v>2925</v>
      </c>
      <c r="C352" s="3207">
        <v>3670</v>
      </c>
      <c r="D352" s="3207">
        <v>3630</v>
      </c>
      <c r="E352" s="3207">
        <v>4000</v>
      </c>
      <c r="F352" s="3207">
        <v>750</v>
      </c>
      <c r="G352" s="3207">
        <v>2180</v>
      </c>
    </row>
    <row r="353" spans="1:7" s="3200" customFormat="1">
      <c r="A353" s="3207" t="s">
        <v>307</v>
      </c>
      <c r="B353" s="3207" t="s">
        <v>3137</v>
      </c>
      <c r="C353" s="3207">
        <v>3190</v>
      </c>
      <c r="D353" s="3207">
        <v>3150</v>
      </c>
      <c r="E353" s="3207">
        <v>3640</v>
      </c>
      <c r="F353" s="3207">
        <v>630</v>
      </c>
      <c r="G353" s="3207">
        <v>1890</v>
      </c>
    </row>
    <row r="354" spans="1:7" s="3200" customFormat="1">
      <c r="A354" s="3207" t="s">
        <v>307</v>
      </c>
      <c r="B354" s="3207" t="s">
        <v>280</v>
      </c>
      <c r="C354" s="3207">
        <v>3450</v>
      </c>
      <c r="D354" s="3207">
        <v>3420</v>
      </c>
      <c r="E354" s="3207">
        <v>3960</v>
      </c>
      <c r="F354" s="3207">
        <v>660</v>
      </c>
      <c r="G354" s="3207">
        <v>2050</v>
      </c>
    </row>
    <row r="355" spans="1:7" s="3200" customFormat="1">
      <c r="A355" s="3207" t="s">
        <v>307</v>
      </c>
      <c r="B355" s="3207" t="s">
        <v>2945</v>
      </c>
      <c r="C355" s="3207">
        <v>3650</v>
      </c>
      <c r="D355" s="3207">
        <v>3610</v>
      </c>
      <c r="E355" s="3207">
        <v>4200</v>
      </c>
      <c r="F355" s="3207">
        <v>640</v>
      </c>
      <c r="G355" s="3207">
        <v>2160</v>
      </c>
    </row>
    <row r="356" spans="1:7" s="3200" customFormat="1">
      <c r="A356" s="3207" t="s">
        <v>307</v>
      </c>
      <c r="B356" s="3207" t="s">
        <v>2952</v>
      </c>
      <c r="C356" s="3207">
        <v>3260</v>
      </c>
      <c r="D356" s="3207">
        <v>3230</v>
      </c>
      <c r="E356" s="3207">
        <v>3740</v>
      </c>
      <c r="F356" s="3207">
        <v>600</v>
      </c>
      <c r="G356" s="3207">
        <v>1930</v>
      </c>
    </row>
    <row r="357" spans="1:7" s="3200" customFormat="1" ht="12" thickBot="1">
      <c r="A357" s="3215" t="s">
        <v>307</v>
      </c>
      <c r="B357" s="3218" t="s">
        <v>3138</v>
      </c>
      <c r="C357" s="3218">
        <v>3690</v>
      </c>
      <c r="D357" s="3218">
        <v>3650</v>
      </c>
      <c r="E357" s="3218">
        <v>4020</v>
      </c>
      <c r="F357" s="3218">
        <v>700</v>
      </c>
      <c r="G357" s="3218">
        <v>2190</v>
      </c>
    </row>
    <row r="358" spans="1:7" s="3200" customFormat="1">
      <c r="A358" s="3212" t="s">
        <v>3139</v>
      </c>
      <c r="B358" s="3203" t="s">
        <v>3140</v>
      </c>
      <c r="C358" s="3203">
        <v>2080</v>
      </c>
      <c r="D358" s="3203">
        <v>2040</v>
      </c>
      <c r="E358" s="3203">
        <v>2010</v>
      </c>
      <c r="F358" s="3203">
        <v>530</v>
      </c>
      <c r="G358" s="3219">
        <v>1230</v>
      </c>
    </row>
    <row r="359" spans="1:7" s="3200" customFormat="1">
      <c r="A359" s="3207" t="s">
        <v>3139</v>
      </c>
      <c r="B359" s="3207" t="s">
        <v>3141</v>
      </c>
      <c r="C359" s="3207">
        <v>1850</v>
      </c>
      <c r="D359" s="3207">
        <v>1820</v>
      </c>
      <c r="E359" s="3207">
        <v>1780</v>
      </c>
      <c r="F359" s="3207">
        <v>520</v>
      </c>
      <c r="G359" s="3220">
        <v>1100</v>
      </c>
    </row>
    <row r="360" spans="1:7" s="3200" customFormat="1">
      <c r="A360" s="3207" t="s">
        <v>3139</v>
      </c>
      <c r="B360" s="3207" t="s">
        <v>3142</v>
      </c>
      <c r="C360" s="3207">
        <v>2020</v>
      </c>
      <c r="D360" s="3207">
        <v>1990</v>
      </c>
      <c r="E360" s="3207">
        <v>1950</v>
      </c>
      <c r="F360" s="3207">
        <v>500</v>
      </c>
      <c r="G360" s="3220">
        <v>1200</v>
      </c>
    </row>
    <row r="361" spans="1:7" s="3200" customFormat="1">
      <c r="A361" s="3207" t="s">
        <v>3139</v>
      </c>
      <c r="B361" s="3207" t="s">
        <v>153</v>
      </c>
      <c r="C361" s="3207">
        <v>2260</v>
      </c>
      <c r="D361" s="3207">
        <v>2220</v>
      </c>
      <c r="E361" s="3207">
        <v>2180</v>
      </c>
      <c r="F361" s="3207">
        <v>580</v>
      </c>
      <c r="G361" s="3220">
        <v>1340</v>
      </c>
    </row>
    <row r="362" spans="1:7" s="3200" customFormat="1">
      <c r="A362" s="3207" t="s">
        <v>3139</v>
      </c>
      <c r="B362" s="3207" t="s">
        <v>3143</v>
      </c>
      <c r="C362" s="3207">
        <v>2650</v>
      </c>
      <c r="D362" s="3207">
        <v>2610</v>
      </c>
      <c r="E362" s="3207">
        <v>2570</v>
      </c>
      <c r="F362" s="3207">
        <v>630</v>
      </c>
      <c r="G362" s="3220">
        <v>1570</v>
      </c>
    </row>
    <row r="363" spans="1:7" s="3200" customFormat="1">
      <c r="A363" s="3207" t="s">
        <v>3139</v>
      </c>
      <c r="B363" s="3207" t="s">
        <v>2864</v>
      </c>
      <c r="C363" s="3207">
        <v>2390</v>
      </c>
      <c r="D363" s="3207">
        <v>2360</v>
      </c>
      <c r="E363" s="3207">
        <v>2320</v>
      </c>
      <c r="F363" s="3207">
        <v>600</v>
      </c>
      <c r="G363" s="3220">
        <v>1420</v>
      </c>
    </row>
    <row r="364" spans="1:7" s="3200" customFormat="1">
      <c r="A364" s="3207" t="s">
        <v>3139</v>
      </c>
      <c r="B364" s="3207" t="s">
        <v>3144</v>
      </c>
      <c r="C364" s="3207">
        <v>2050</v>
      </c>
      <c r="D364" s="3207">
        <v>2030</v>
      </c>
      <c r="E364" s="3207">
        <v>1990</v>
      </c>
      <c r="F364" s="3207">
        <v>550</v>
      </c>
      <c r="G364" s="3220">
        <v>1220</v>
      </c>
    </row>
    <row r="365" spans="1:7" s="3200" customFormat="1">
      <c r="A365" s="3207" t="s">
        <v>3139</v>
      </c>
      <c r="B365" s="3207" t="s">
        <v>200</v>
      </c>
      <c r="C365" s="3207">
        <v>2140</v>
      </c>
      <c r="D365" s="3207">
        <v>2100</v>
      </c>
      <c r="E365" s="3207">
        <v>2060</v>
      </c>
      <c r="F365" s="3207">
        <v>540</v>
      </c>
      <c r="G365" s="3220">
        <v>1270</v>
      </c>
    </row>
    <row r="366" spans="1:7" s="3200" customFormat="1">
      <c r="A366" s="3207" t="s">
        <v>3139</v>
      </c>
      <c r="B366" s="3207" t="s">
        <v>2871</v>
      </c>
      <c r="C366" s="3207">
        <v>2410</v>
      </c>
      <c r="D366" s="3207">
        <v>2370</v>
      </c>
      <c r="E366" s="3207">
        <v>2330</v>
      </c>
      <c r="F366" s="3207">
        <v>570</v>
      </c>
      <c r="G366" s="3220">
        <v>1440</v>
      </c>
    </row>
    <row r="367" spans="1:7" s="3200" customFormat="1">
      <c r="A367" s="3207" t="s">
        <v>3139</v>
      </c>
      <c r="B367" s="3207" t="s">
        <v>3145</v>
      </c>
      <c r="C367" s="3207">
        <v>2300</v>
      </c>
      <c r="D367" s="3207">
        <v>2260</v>
      </c>
      <c r="E367" s="3207">
        <v>2220</v>
      </c>
      <c r="F367" s="3207">
        <v>560</v>
      </c>
      <c r="G367" s="3220">
        <v>1370</v>
      </c>
    </row>
    <row r="368" spans="1:7" s="3200" customFormat="1">
      <c r="A368" s="3207" t="s">
        <v>3139</v>
      </c>
      <c r="B368" s="3207" t="s">
        <v>3146</v>
      </c>
      <c r="C368" s="3207">
        <v>2430</v>
      </c>
      <c r="D368" s="3207">
        <v>2390</v>
      </c>
      <c r="E368" s="3207">
        <v>2350</v>
      </c>
      <c r="F368" s="3207">
        <v>570</v>
      </c>
      <c r="G368" s="3220">
        <v>1450</v>
      </c>
    </row>
    <row r="369" spans="1:7" s="3200" customFormat="1">
      <c r="A369" s="3207" t="s">
        <v>3139</v>
      </c>
      <c r="B369" s="3207" t="s">
        <v>214</v>
      </c>
      <c r="C369" s="3207">
        <v>2320</v>
      </c>
      <c r="D369" s="3207">
        <v>2290</v>
      </c>
      <c r="E369" s="3207">
        <v>2250</v>
      </c>
      <c r="F369" s="3207">
        <v>550</v>
      </c>
      <c r="G369" s="3220">
        <v>1380</v>
      </c>
    </row>
    <row r="370" spans="1:7" s="3200" customFormat="1">
      <c r="A370" s="3207" t="s">
        <v>3139</v>
      </c>
      <c r="B370" s="3207" t="s">
        <v>221</v>
      </c>
      <c r="C370" s="3207">
        <v>2190</v>
      </c>
      <c r="D370" s="3207">
        <v>2170</v>
      </c>
      <c r="E370" s="3207">
        <v>2130</v>
      </c>
      <c r="F370" s="3207">
        <v>530</v>
      </c>
      <c r="G370" s="3220">
        <v>1310</v>
      </c>
    </row>
    <row r="371" spans="1:7" s="3200" customFormat="1">
      <c r="A371" s="3207" t="s">
        <v>3139</v>
      </c>
      <c r="B371" s="3207" t="s">
        <v>229</v>
      </c>
      <c r="C371" s="3207">
        <v>2460</v>
      </c>
      <c r="D371" s="3207">
        <v>2420</v>
      </c>
      <c r="E371" s="3207">
        <v>2370</v>
      </c>
      <c r="F371" s="3207">
        <v>560</v>
      </c>
      <c r="G371" s="3220">
        <v>1470</v>
      </c>
    </row>
    <row r="372" spans="1:7" s="3200" customFormat="1">
      <c r="A372" s="3207" t="s">
        <v>3139</v>
      </c>
      <c r="B372" s="3207" t="s">
        <v>3147</v>
      </c>
      <c r="C372" s="3207">
        <v>2250</v>
      </c>
      <c r="D372" s="3207">
        <v>2210</v>
      </c>
      <c r="E372" s="3207">
        <v>2180</v>
      </c>
      <c r="F372" s="3207">
        <v>550</v>
      </c>
      <c r="G372" s="3220">
        <v>1340</v>
      </c>
    </row>
    <row r="373" spans="1:7" s="3200" customFormat="1">
      <c r="A373" s="3207" t="s">
        <v>3139</v>
      </c>
      <c r="B373" s="3207" t="s">
        <v>258</v>
      </c>
      <c r="C373" s="3207">
        <v>2210</v>
      </c>
      <c r="D373" s="3207">
        <v>2190</v>
      </c>
      <c r="E373" s="3207">
        <v>2150</v>
      </c>
      <c r="F373" s="3207">
        <v>530</v>
      </c>
      <c r="G373" s="3220">
        <v>1320</v>
      </c>
    </row>
    <row r="374" spans="1:7" s="3200" customFormat="1">
      <c r="A374" s="3207" t="s">
        <v>3139</v>
      </c>
      <c r="B374" s="3207" t="s">
        <v>266</v>
      </c>
      <c r="C374" s="3207">
        <v>2320</v>
      </c>
      <c r="D374" s="3207">
        <v>2280</v>
      </c>
      <c r="E374" s="3207">
        <v>2230</v>
      </c>
      <c r="F374" s="3207">
        <v>580</v>
      </c>
      <c r="G374" s="3220">
        <v>1380</v>
      </c>
    </row>
    <row r="375" spans="1:7" s="3200" customFormat="1">
      <c r="A375" s="3207" t="s">
        <v>3139</v>
      </c>
      <c r="B375" s="3207" t="s">
        <v>3148</v>
      </c>
      <c r="C375" s="3207">
        <v>2090</v>
      </c>
      <c r="D375" s="3207">
        <v>2050</v>
      </c>
      <c r="E375" s="3207">
        <v>2020</v>
      </c>
      <c r="F375" s="3207">
        <v>520</v>
      </c>
      <c r="G375" s="3220">
        <v>1240</v>
      </c>
    </row>
    <row r="376" spans="1:7" s="3200" customFormat="1">
      <c r="A376" s="3207" t="s">
        <v>3139</v>
      </c>
      <c r="B376" s="3207" t="s">
        <v>277</v>
      </c>
      <c r="C376" s="3207">
        <v>2010</v>
      </c>
      <c r="D376" s="3207">
        <v>1980</v>
      </c>
      <c r="E376" s="3207">
        <v>1940</v>
      </c>
      <c r="F376" s="3207">
        <v>540</v>
      </c>
      <c r="G376" s="3220">
        <v>1190</v>
      </c>
    </row>
    <row r="377" spans="1:7" s="3200" customFormat="1" ht="12" thickBot="1">
      <c r="A377" s="3215" t="s">
        <v>3139</v>
      </c>
      <c r="B377" s="3218" t="s">
        <v>2901</v>
      </c>
      <c r="C377" s="3218">
        <v>1930</v>
      </c>
      <c r="D377" s="3218">
        <v>1890</v>
      </c>
      <c r="E377" s="3218">
        <v>1860</v>
      </c>
      <c r="F377" s="3218">
        <v>530</v>
      </c>
      <c r="G377" s="3223">
        <v>1150</v>
      </c>
    </row>
    <row r="378" spans="1:7" s="3200" customFormat="1">
      <c r="A378" s="3224" t="s">
        <v>3149</v>
      </c>
      <c r="B378" s="3203" t="s">
        <v>3150</v>
      </c>
      <c r="C378" s="3203">
        <v>1520</v>
      </c>
      <c r="D378" s="3203">
        <v>1490</v>
      </c>
      <c r="E378" s="3203">
        <v>1460</v>
      </c>
      <c r="F378" s="3203">
        <v>460</v>
      </c>
      <c r="G378" s="3219">
        <v>940</v>
      </c>
    </row>
    <row r="379" spans="1:7" s="3200" customFormat="1">
      <c r="A379" s="3225" t="s">
        <v>3149</v>
      </c>
      <c r="B379" s="3207" t="s">
        <v>3151</v>
      </c>
      <c r="C379" s="3207">
        <v>1500</v>
      </c>
      <c r="D379" s="3207">
        <v>1470</v>
      </c>
      <c r="E379" s="3207">
        <v>1430</v>
      </c>
      <c r="F379" s="3207">
        <v>460</v>
      </c>
      <c r="G379" s="3220">
        <v>920</v>
      </c>
    </row>
    <row r="380" spans="1:7" s="3200" customFormat="1">
      <c r="A380" s="3225" t="s">
        <v>3149</v>
      </c>
      <c r="B380" s="3207" t="s">
        <v>3152</v>
      </c>
      <c r="C380" s="3207">
        <v>1620</v>
      </c>
      <c r="D380" s="3207">
        <v>1590</v>
      </c>
      <c r="E380" s="3207">
        <v>1560</v>
      </c>
      <c r="F380" s="3207">
        <v>480</v>
      </c>
      <c r="G380" s="3220">
        <v>1000</v>
      </c>
    </row>
    <row r="381" spans="1:7" s="3200" customFormat="1">
      <c r="A381" s="3225" t="s">
        <v>3149</v>
      </c>
      <c r="B381" s="3207" t="s">
        <v>3153</v>
      </c>
      <c r="C381" s="3207">
        <v>1460</v>
      </c>
      <c r="D381" s="3207">
        <v>1430</v>
      </c>
      <c r="E381" s="3207">
        <v>1390</v>
      </c>
      <c r="F381" s="3207">
        <v>450</v>
      </c>
      <c r="G381" s="3220">
        <v>900</v>
      </c>
    </row>
    <row r="382" spans="1:7" s="3200" customFormat="1">
      <c r="A382" s="3225" t="s">
        <v>3149</v>
      </c>
      <c r="B382" s="3207" t="s">
        <v>3154</v>
      </c>
      <c r="C382" s="3207">
        <v>1310</v>
      </c>
      <c r="D382" s="3207">
        <v>1280</v>
      </c>
      <c r="E382" s="3207">
        <v>1250</v>
      </c>
      <c r="F382" s="3207">
        <v>440</v>
      </c>
      <c r="G382" s="3220">
        <v>800</v>
      </c>
    </row>
    <row r="383" spans="1:7" s="3200" customFormat="1">
      <c r="A383" s="3225" t="s">
        <v>3149</v>
      </c>
      <c r="B383" s="3207" t="s">
        <v>3155</v>
      </c>
      <c r="C383" s="3207">
        <v>1260</v>
      </c>
      <c r="D383" s="3207">
        <v>1230</v>
      </c>
      <c r="E383" s="3207">
        <v>1200</v>
      </c>
      <c r="F383" s="3207">
        <v>420</v>
      </c>
      <c r="G383" s="3220">
        <v>770</v>
      </c>
    </row>
    <row r="384" spans="1:7" s="3200" customFormat="1" ht="12" thickBot="1">
      <c r="A384" s="3226" t="s">
        <v>3149</v>
      </c>
      <c r="B384" s="3214" t="s">
        <v>3156</v>
      </c>
      <c r="C384" s="3214">
        <v>1170</v>
      </c>
      <c r="D384" s="3214">
        <v>1140</v>
      </c>
      <c r="E384" s="3214">
        <v>1120</v>
      </c>
      <c r="F384" s="3214">
        <v>400</v>
      </c>
      <c r="G384" s="322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3" customWidth="1"/>
    <col min="2" max="2" width="20" style="3263" customWidth="1"/>
    <col min="3" max="7" width="8.875" style="3227"/>
    <col min="8" max="16384" width="8.875" style="3228"/>
  </cols>
  <sheetData>
    <row r="1" spans="1:7">
      <c r="A1" s="3816" t="s">
        <v>3157</v>
      </c>
      <c r="B1" s="3816"/>
    </row>
    <row r="2" spans="1:7" ht="14.25" thickBot="1">
      <c r="A2" s="3229"/>
      <c r="B2" s="3229"/>
    </row>
    <row r="3" spans="1:7" ht="14.25" thickBot="1">
      <c r="A3" s="3229"/>
      <c r="B3" s="3229"/>
      <c r="C3" s="3230" t="s">
        <v>2787</v>
      </c>
      <c r="D3" s="3230" t="s">
        <v>2843</v>
      </c>
      <c r="E3" s="3230" t="s">
        <v>2789</v>
      </c>
      <c r="F3" s="3230" t="s">
        <v>2844</v>
      </c>
      <c r="G3" s="3230" t="s">
        <v>2607</v>
      </c>
    </row>
    <row r="4" spans="1:7" ht="14.25" thickBot="1">
      <c r="A4" s="3231" t="s">
        <v>2842</v>
      </c>
      <c r="B4" s="3232" t="s">
        <v>2848</v>
      </c>
      <c r="C4" s="3230"/>
      <c r="D4" s="3230"/>
      <c r="E4" s="3230"/>
      <c r="F4" s="3230"/>
      <c r="G4" s="3230"/>
    </row>
    <row r="5" spans="1:7">
      <c r="A5" s="3233" t="s">
        <v>2816</v>
      </c>
      <c r="B5" s="3234" t="s">
        <v>2830</v>
      </c>
      <c r="C5" s="3235">
        <v>9.8000000000000004E-2</v>
      </c>
      <c r="D5" s="3235">
        <v>8.6999999999999994E-2</v>
      </c>
      <c r="E5" s="3235">
        <v>8.6999999999999994E-2</v>
      </c>
      <c r="F5" s="3235">
        <v>9.8000000000000004E-2</v>
      </c>
      <c r="G5" s="3236">
        <v>9.5000000000000001E-2</v>
      </c>
    </row>
    <row r="6" spans="1:7">
      <c r="A6" s="3237" t="s">
        <v>144</v>
      </c>
      <c r="B6" s="3238" t="s">
        <v>2845</v>
      </c>
      <c r="C6" s="3239">
        <v>9.8000000000000004E-2</v>
      </c>
      <c r="D6" s="3239">
        <v>9.8000000000000004E-2</v>
      </c>
      <c r="E6" s="3239">
        <v>9.8000000000000004E-2</v>
      </c>
      <c r="F6" s="3239">
        <v>0.1</v>
      </c>
      <c r="G6" s="3240">
        <v>9.9000000000000005E-2</v>
      </c>
    </row>
    <row r="7" spans="1:7">
      <c r="A7" s="3237" t="s">
        <v>144</v>
      </c>
      <c r="B7" s="3238" t="s">
        <v>137</v>
      </c>
      <c r="C7" s="3239">
        <v>9.7000000000000003E-2</v>
      </c>
      <c r="D7" s="3239">
        <v>9.7000000000000003E-2</v>
      </c>
      <c r="E7" s="3239">
        <v>9.6000000000000002E-2</v>
      </c>
      <c r="F7" s="3239">
        <v>0.1</v>
      </c>
      <c r="G7" s="3240">
        <v>9.8000000000000004E-2</v>
      </c>
    </row>
    <row r="8" spans="1:7">
      <c r="A8" s="3237" t="s">
        <v>144</v>
      </c>
      <c r="B8" s="3238" t="s">
        <v>145</v>
      </c>
      <c r="C8" s="3239">
        <v>8.1000000000000003E-2</v>
      </c>
      <c r="D8" s="3239">
        <v>8.2000000000000003E-2</v>
      </c>
      <c r="E8" s="3239">
        <v>7.0000000000000007E-2</v>
      </c>
      <c r="F8" s="3239">
        <v>9.6000000000000002E-2</v>
      </c>
      <c r="G8" s="3240">
        <v>8.8999999999999996E-2</v>
      </c>
    </row>
    <row r="9" spans="1:7" ht="14.25" thickBot="1">
      <c r="A9" s="3241" t="s">
        <v>144</v>
      </c>
      <c r="B9" s="3242" t="s">
        <v>154</v>
      </c>
      <c r="C9" s="3243">
        <v>0.1</v>
      </c>
      <c r="D9" s="3243">
        <v>0.1</v>
      </c>
      <c r="E9" s="3243">
        <v>0.1</v>
      </c>
      <c r="F9" s="3244"/>
      <c r="G9" s="3245">
        <v>0.1</v>
      </c>
    </row>
    <row r="10" spans="1:7">
      <c r="A10" s="3233" t="s">
        <v>184</v>
      </c>
      <c r="B10" s="3234" t="s">
        <v>2831</v>
      </c>
      <c r="C10" s="3235">
        <v>6.7000000000000004E-2</v>
      </c>
      <c r="D10" s="3235">
        <v>7.9000000000000001E-2</v>
      </c>
      <c r="E10" s="3235">
        <v>7.9000000000000001E-2</v>
      </c>
      <c r="F10" s="3235">
        <v>0.1</v>
      </c>
      <c r="G10" s="3236">
        <v>9.0999999999999998E-2</v>
      </c>
    </row>
    <row r="11" spans="1:7">
      <c r="A11" s="3237" t="s">
        <v>184</v>
      </c>
      <c r="B11" s="3238" t="s">
        <v>128</v>
      </c>
      <c r="C11" s="3239">
        <v>0.05</v>
      </c>
      <c r="D11" s="3239">
        <v>5.2999999999999999E-2</v>
      </c>
      <c r="E11" s="3239">
        <v>6.3E-2</v>
      </c>
      <c r="F11" s="3239">
        <v>0.1</v>
      </c>
      <c r="G11" s="3240">
        <v>7.1999999999999995E-2</v>
      </c>
    </row>
    <row r="12" spans="1:7">
      <c r="A12" s="3237" t="s">
        <v>184</v>
      </c>
      <c r="B12" s="3238" t="s">
        <v>111</v>
      </c>
      <c r="C12" s="3239">
        <v>5.2999999999999999E-2</v>
      </c>
      <c r="D12" s="3239">
        <v>0.09</v>
      </c>
      <c r="E12" s="3239">
        <v>7.1999999999999995E-2</v>
      </c>
      <c r="F12" s="3239">
        <v>0.1</v>
      </c>
      <c r="G12" s="3240">
        <v>9.7000000000000003E-2</v>
      </c>
    </row>
    <row r="13" spans="1:7">
      <c r="A13" s="3237" t="s">
        <v>184</v>
      </c>
      <c r="B13" s="3238" t="s">
        <v>146</v>
      </c>
      <c r="C13" s="3239">
        <v>9.7000000000000003E-2</v>
      </c>
      <c r="D13" s="3239">
        <v>9.1999999999999998E-2</v>
      </c>
      <c r="E13" s="3239">
        <v>9.5000000000000001E-2</v>
      </c>
      <c r="F13" s="3239">
        <v>0.1</v>
      </c>
      <c r="G13" s="3240">
        <v>9.7000000000000003E-2</v>
      </c>
    </row>
    <row r="14" spans="1:7">
      <c r="A14" s="3237" t="s">
        <v>184</v>
      </c>
      <c r="B14" s="3238" t="s">
        <v>155</v>
      </c>
      <c r="C14" s="3239">
        <v>9.7000000000000003E-2</v>
      </c>
      <c r="D14" s="3239">
        <v>9.7000000000000003E-2</v>
      </c>
      <c r="E14" s="3239">
        <v>9.7000000000000003E-2</v>
      </c>
      <c r="F14" s="3239">
        <v>0.1</v>
      </c>
      <c r="G14" s="3240">
        <v>9.8000000000000004E-2</v>
      </c>
    </row>
    <row r="15" spans="1:7">
      <c r="A15" s="3237" t="s">
        <v>184</v>
      </c>
      <c r="B15" s="3238" t="s">
        <v>162</v>
      </c>
      <c r="C15" s="3239">
        <v>9.8000000000000004E-2</v>
      </c>
      <c r="D15" s="3239">
        <v>9.0999999999999998E-2</v>
      </c>
      <c r="E15" s="3239">
        <v>0.06</v>
      </c>
      <c r="F15" s="3239">
        <v>0.1</v>
      </c>
      <c r="G15" s="3240">
        <v>9.7000000000000003E-2</v>
      </c>
    </row>
    <row r="16" spans="1:7">
      <c r="A16" s="3237" t="s">
        <v>184</v>
      </c>
      <c r="B16" s="3238" t="s">
        <v>168</v>
      </c>
      <c r="C16" s="3239">
        <v>9.8000000000000004E-2</v>
      </c>
      <c r="D16" s="3239">
        <v>9.7000000000000003E-2</v>
      </c>
      <c r="E16" s="3239">
        <v>9.5000000000000001E-2</v>
      </c>
      <c r="F16" s="3239">
        <v>0.1</v>
      </c>
      <c r="G16" s="3240">
        <v>9.9000000000000005E-2</v>
      </c>
    </row>
    <row r="17" spans="1:7">
      <c r="A17" s="3237" t="s">
        <v>184</v>
      </c>
      <c r="B17" s="3238" t="s">
        <v>175</v>
      </c>
      <c r="C17" s="3239">
        <v>8.8999999999999996E-2</v>
      </c>
      <c r="D17" s="3239">
        <v>9.1999999999999998E-2</v>
      </c>
      <c r="E17" s="3239">
        <v>6.0999999999999999E-2</v>
      </c>
      <c r="F17" s="3239">
        <v>0.1</v>
      </c>
      <c r="G17" s="3240">
        <v>9.7000000000000003E-2</v>
      </c>
    </row>
    <row r="18" spans="1:7">
      <c r="A18" s="3237" t="s">
        <v>184</v>
      </c>
      <c r="B18" s="3238" t="s">
        <v>185</v>
      </c>
      <c r="C18" s="3239">
        <v>9.8000000000000004E-2</v>
      </c>
      <c r="D18" s="3239">
        <v>9.8000000000000004E-2</v>
      </c>
      <c r="E18" s="3239">
        <v>9.8000000000000004E-2</v>
      </c>
      <c r="F18" s="3246"/>
      <c r="G18" s="3240">
        <v>9.9000000000000005E-2</v>
      </c>
    </row>
    <row r="19" spans="1:7">
      <c r="A19" s="3237" t="s">
        <v>184</v>
      </c>
      <c r="B19" s="3238" t="s">
        <v>194</v>
      </c>
      <c r="C19" s="3239">
        <v>9.9000000000000005E-2</v>
      </c>
      <c r="D19" s="3239">
        <v>7.3999999999999996E-2</v>
      </c>
      <c r="E19" s="3239">
        <v>8.1000000000000003E-2</v>
      </c>
      <c r="F19" s="3246"/>
      <c r="G19" s="3240">
        <v>9.2999999999999999E-2</v>
      </c>
    </row>
    <row r="20" spans="1:7">
      <c r="A20" s="3237" t="s">
        <v>184</v>
      </c>
      <c r="B20" s="3238" t="s">
        <v>201</v>
      </c>
      <c r="C20" s="3239">
        <v>0.1</v>
      </c>
      <c r="D20" s="3239">
        <v>8.8999999999999996E-2</v>
      </c>
      <c r="E20" s="3239">
        <v>8.8999999999999996E-2</v>
      </c>
      <c r="F20" s="3246"/>
      <c r="G20" s="3240">
        <v>9.5000000000000001E-2</v>
      </c>
    </row>
    <row r="21" spans="1:7">
      <c r="A21" s="3237" t="s">
        <v>184</v>
      </c>
      <c r="B21" s="3238" t="s">
        <v>208</v>
      </c>
      <c r="C21" s="3239">
        <v>0.1</v>
      </c>
      <c r="D21" s="3239">
        <v>9.0999999999999998E-2</v>
      </c>
      <c r="E21" s="3239">
        <v>8.2000000000000003E-2</v>
      </c>
      <c r="F21" s="3246"/>
      <c r="G21" s="3240">
        <v>9.7000000000000003E-2</v>
      </c>
    </row>
    <row r="22" spans="1:7">
      <c r="A22" s="3237" t="s">
        <v>184</v>
      </c>
      <c r="B22" s="3238" t="s">
        <v>2881</v>
      </c>
      <c r="C22" s="3239">
        <v>9.5000000000000001E-2</v>
      </c>
      <c r="D22" s="3239">
        <v>9.9000000000000005E-2</v>
      </c>
      <c r="E22" s="3239">
        <v>9.8000000000000004E-2</v>
      </c>
      <c r="F22" s="3246"/>
      <c r="G22" s="3240">
        <v>0.1</v>
      </c>
    </row>
    <row r="23" spans="1:7">
      <c r="A23" s="3237" t="s">
        <v>184</v>
      </c>
      <c r="B23" s="3238" t="s">
        <v>222</v>
      </c>
      <c r="C23" s="3239">
        <v>9.9000000000000005E-2</v>
      </c>
      <c r="D23" s="3239">
        <v>0.1</v>
      </c>
      <c r="E23" s="3239">
        <v>0.1</v>
      </c>
      <c r="F23" s="3246"/>
      <c r="G23" s="3240">
        <v>0.1</v>
      </c>
    </row>
    <row r="24" spans="1:7">
      <c r="A24" s="3237" t="s">
        <v>184</v>
      </c>
      <c r="B24" s="3238" t="s">
        <v>230</v>
      </c>
      <c r="C24" s="3239">
        <v>9.5000000000000001E-2</v>
      </c>
      <c r="D24" s="3239">
        <v>0.1</v>
      </c>
      <c r="E24" s="3239">
        <v>9.8000000000000004E-2</v>
      </c>
      <c r="F24" s="3246"/>
      <c r="G24" s="3240">
        <v>0.1</v>
      </c>
    </row>
    <row r="25" spans="1:7">
      <c r="A25" s="3237" t="s">
        <v>184</v>
      </c>
      <c r="B25" s="3238" t="s">
        <v>235</v>
      </c>
      <c r="C25" s="3239">
        <v>0.05</v>
      </c>
      <c r="D25" s="3239">
        <v>9.6000000000000002E-2</v>
      </c>
      <c r="E25" s="3239">
        <v>9.6000000000000002E-2</v>
      </c>
      <c r="F25" s="3246"/>
      <c r="G25" s="3240">
        <v>9.6000000000000002E-2</v>
      </c>
    </row>
    <row r="26" spans="1:7">
      <c r="A26" s="3237" t="s">
        <v>184</v>
      </c>
      <c r="B26" s="3238" t="s">
        <v>244</v>
      </c>
      <c r="C26" s="3239">
        <v>6.3E-2</v>
      </c>
      <c r="D26" s="3239">
        <v>9.9000000000000005E-2</v>
      </c>
      <c r="E26" s="3239">
        <v>9.8000000000000004E-2</v>
      </c>
      <c r="F26" s="3246"/>
      <c r="G26" s="3240">
        <v>0.1</v>
      </c>
    </row>
    <row r="27" spans="1:7">
      <c r="A27" s="3237" t="s">
        <v>184</v>
      </c>
      <c r="B27" s="3238" t="s">
        <v>251</v>
      </c>
      <c r="C27" s="3239">
        <v>5.1999999999999998E-2</v>
      </c>
      <c r="D27" s="3239">
        <v>9.5000000000000001E-2</v>
      </c>
      <c r="E27" s="3239">
        <v>6.4000000000000001E-2</v>
      </c>
      <c r="F27" s="3246"/>
      <c r="G27" s="3240">
        <v>9.7000000000000003E-2</v>
      </c>
    </row>
    <row r="28" spans="1:7">
      <c r="A28" s="3237" t="s">
        <v>184</v>
      </c>
      <c r="B28" s="3238" t="s">
        <v>259</v>
      </c>
      <c r="C28" s="3246"/>
      <c r="D28" s="3239">
        <v>6.3E-2</v>
      </c>
      <c r="E28" s="3239">
        <v>5.1999999999999998E-2</v>
      </c>
      <c r="F28" s="3246"/>
      <c r="G28" s="3240">
        <v>6.3E-2</v>
      </c>
    </row>
    <row r="29" spans="1:7" ht="14.25" thickBot="1">
      <c r="A29" s="3241" t="s">
        <v>184</v>
      </c>
      <c r="B29" s="3242" t="s">
        <v>2899</v>
      </c>
      <c r="C29" s="3247"/>
      <c r="D29" s="3243">
        <v>5.1999999999999998E-2</v>
      </c>
      <c r="E29" s="3243">
        <v>7.0000000000000007E-2</v>
      </c>
      <c r="F29" s="3247"/>
      <c r="G29" s="3245">
        <v>7.0999999999999994E-2</v>
      </c>
    </row>
    <row r="30" spans="1:7">
      <c r="A30" s="3248" t="s">
        <v>296</v>
      </c>
      <c r="B30" s="3234" t="s">
        <v>2832</v>
      </c>
      <c r="C30" s="3235">
        <v>6.6000000000000003E-2</v>
      </c>
      <c r="D30" s="3235">
        <v>6.6000000000000003E-2</v>
      </c>
      <c r="E30" s="3235">
        <v>5.7000000000000002E-2</v>
      </c>
      <c r="F30" s="3235">
        <v>0.1</v>
      </c>
      <c r="G30" s="3236">
        <v>6.8000000000000005E-2</v>
      </c>
    </row>
    <row r="31" spans="1:7">
      <c r="A31" s="3249" t="s">
        <v>296</v>
      </c>
      <c r="B31" s="3238" t="s">
        <v>129</v>
      </c>
      <c r="C31" s="3239">
        <v>5.5E-2</v>
      </c>
      <c r="D31" s="3239">
        <v>8.2000000000000003E-2</v>
      </c>
      <c r="E31" s="3239">
        <v>6.4000000000000001E-2</v>
      </c>
      <c r="F31" s="3239">
        <v>0.1</v>
      </c>
      <c r="G31" s="3240">
        <v>9.5000000000000001E-2</v>
      </c>
    </row>
    <row r="32" spans="1:7">
      <c r="A32" s="3249" t="s">
        <v>296</v>
      </c>
      <c r="B32" s="3238" t="s">
        <v>138</v>
      </c>
      <c r="C32" s="3239">
        <v>8.2000000000000003E-2</v>
      </c>
      <c r="D32" s="3239">
        <v>8.6999999999999994E-2</v>
      </c>
      <c r="E32" s="3239">
        <v>9.5000000000000001E-2</v>
      </c>
      <c r="F32" s="3239">
        <v>0.1</v>
      </c>
      <c r="G32" s="3240">
        <v>9.6000000000000002E-2</v>
      </c>
    </row>
    <row r="33" spans="1:7">
      <c r="A33" s="3249" t="s">
        <v>296</v>
      </c>
      <c r="B33" s="3238" t="s">
        <v>147</v>
      </c>
      <c r="C33" s="3239">
        <v>9.9000000000000005E-2</v>
      </c>
      <c r="D33" s="3239">
        <v>9.1999999999999998E-2</v>
      </c>
      <c r="E33" s="3239">
        <v>8.6999999999999994E-2</v>
      </c>
      <c r="F33" s="3239">
        <v>0.1</v>
      </c>
      <c r="G33" s="3240">
        <v>9.7000000000000003E-2</v>
      </c>
    </row>
    <row r="34" spans="1:7">
      <c r="A34" s="3249" t="s">
        <v>296</v>
      </c>
      <c r="B34" s="3238" t="s">
        <v>156</v>
      </c>
      <c r="C34" s="3239">
        <v>8.4000000000000005E-2</v>
      </c>
      <c r="D34" s="3239">
        <v>9.7000000000000003E-2</v>
      </c>
      <c r="E34" s="3239">
        <v>7.0999999999999994E-2</v>
      </c>
      <c r="F34" s="3239">
        <v>0.1</v>
      </c>
      <c r="G34" s="3240">
        <v>9.8000000000000004E-2</v>
      </c>
    </row>
    <row r="35" spans="1:7">
      <c r="A35" s="3249" t="s">
        <v>296</v>
      </c>
      <c r="B35" s="3238" t="s">
        <v>163</v>
      </c>
      <c r="C35" s="3239">
        <v>8.3000000000000004E-2</v>
      </c>
      <c r="D35" s="3239">
        <v>9.7000000000000003E-2</v>
      </c>
      <c r="E35" s="3239">
        <v>6.0999999999999999E-2</v>
      </c>
      <c r="F35" s="3239">
        <v>0.1</v>
      </c>
      <c r="G35" s="3240">
        <v>9.9000000000000005E-2</v>
      </c>
    </row>
    <row r="36" spans="1:7">
      <c r="A36" s="3249" t="s">
        <v>296</v>
      </c>
      <c r="B36" s="3238" t="s">
        <v>169</v>
      </c>
      <c r="C36" s="3239">
        <v>9.7000000000000003E-2</v>
      </c>
      <c r="D36" s="3239">
        <v>9.7000000000000003E-2</v>
      </c>
      <c r="E36" s="3239">
        <v>7.8E-2</v>
      </c>
      <c r="F36" s="3239">
        <v>0.1</v>
      </c>
      <c r="G36" s="3240">
        <v>9.9000000000000005E-2</v>
      </c>
    </row>
    <row r="37" spans="1:7">
      <c r="A37" s="3249" t="s">
        <v>296</v>
      </c>
      <c r="B37" s="3238" t="s">
        <v>176</v>
      </c>
      <c r="C37" s="3239">
        <v>9.7000000000000003E-2</v>
      </c>
      <c r="D37" s="3239">
        <v>9.5000000000000001E-2</v>
      </c>
      <c r="E37" s="3239">
        <v>7.8E-2</v>
      </c>
      <c r="F37" s="3239">
        <v>0.1</v>
      </c>
      <c r="G37" s="3240">
        <v>9.7000000000000003E-2</v>
      </c>
    </row>
    <row r="38" spans="1:7">
      <c r="A38" s="3249" t="s">
        <v>296</v>
      </c>
      <c r="B38" s="3238" t="s">
        <v>186</v>
      </c>
      <c r="C38" s="3239">
        <v>9.7000000000000003E-2</v>
      </c>
      <c r="D38" s="3239">
        <v>7.6999999999999999E-2</v>
      </c>
      <c r="E38" s="3239">
        <v>7.0000000000000007E-2</v>
      </c>
      <c r="F38" s="3239">
        <v>0.1</v>
      </c>
      <c r="G38" s="3240">
        <v>7.6999999999999999E-2</v>
      </c>
    </row>
    <row r="39" spans="1:7">
      <c r="A39" s="3249" t="s">
        <v>296</v>
      </c>
      <c r="B39" s="3238" t="s">
        <v>195</v>
      </c>
      <c r="C39" s="3239">
        <v>9.5000000000000001E-2</v>
      </c>
      <c r="D39" s="3239">
        <v>7.6999999999999999E-2</v>
      </c>
      <c r="E39" s="3239">
        <v>6.6000000000000003E-2</v>
      </c>
      <c r="F39" s="3239">
        <v>0.1</v>
      </c>
      <c r="G39" s="3240">
        <v>8.5999999999999993E-2</v>
      </c>
    </row>
    <row r="40" spans="1:7">
      <c r="A40" s="3249" t="s">
        <v>296</v>
      </c>
      <c r="B40" s="3238" t="s">
        <v>202</v>
      </c>
      <c r="C40" s="3239">
        <v>7.6999999999999999E-2</v>
      </c>
      <c r="D40" s="3239">
        <v>7.8E-2</v>
      </c>
      <c r="E40" s="3239">
        <v>8.2000000000000003E-2</v>
      </c>
      <c r="F40" s="3250"/>
      <c r="G40" s="3240">
        <v>7.8E-2</v>
      </c>
    </row>
    <row r="41" spans="1:7">
      <c r="A41" s="3249" t="s">
        <v>296</v>
      </c>
      <c r="B41" s="3238" t="s">
        <v>209</v>
      </c>
      <c r="C41" s="3239">
        <v>7.8E-2</v>
      </c>
      <c r="D41" s="3239">
        <v>7.8E-2</v>
      </c>
      <c r="E41" s="3239">
        <v>8.2000000000000003E-2</v>
      </c>
      <c r="F41" s="3250"/>
      <c r="G41" s="3240">
        <v>8.5999999999999993E-2</v>
      </c>
    </row>
    <row r="42" spans="1:7">
      <c r="A42" s="3249" t="s">
        <v>296</v>
      </c>
      <c r="B42" s="3238" t="s">
        <v>215</v>
      </c>
      <c r="C42" s="3239">
        <v>7.8E-2</v>
      </c>
      <c r="D42" s="3239">
        <v>9.6000000000000002E-2</v>
      </c>
      <c r="E42" s="3239">
        <v>7.1999999999999995E-2</v>
      </c>
      <c r="F42" s="3250"/>
      <c r="G42" s="3240">
        <v>9.8000000000000004E-2</v>
      </c>
    </row>
    <row r="43" spans="1:7">
      <c r="A43" s="3249" t="s">
        <v>2818</v>
      </c>
      <c r="B43" s="3238" t="s">
        <v>223</v>
      </c>
      <c r="C43" s="3239">
        <v>7.8E-2</v>
      </c>
      <c r="D43" s="3239">
        <v>9.9000000000000005E-2</v>
      </c>
      <c r="E43" s="3239">
        <v>9.6000000000000002E-2</v>
      </c>
      <c r="F43" s="3250"/>
      <c r="G43" s="3240">
        <v>0.1</v>
      </c>
    </row>
    <row r="44" spans="1:7">
      <c r="A44" s="3249" t="s">
        <v>296</v>
      </c>
      <c r="B44" s="3238" t="s">
        <v>231</v>
      </c>
      <c r="C44" s="3239">
        <v>9.6000000000000002E-2</v>
      </c>
      <c r="D44" s="3239">
        <v>0.1</v>
      </c>
      <c r="E44" s="3239">
        <v>9.8000000000000004E-2</v>
      </c>
      <c r="F44" s="3250"/>
      <c r="G44" s="3240">
        <v>0.1</v>
      </c>
    </row>
    <row r="45" spans="1:7">
      <c r="A45" s="3249" t="s">
        <v>296</v>
      </c>
      <c r="B45" s="3238" t="s">
        <v>236</v>
      </c>
      <c r="C45" s="3239">
        <v>9.9000000000000005E-2</v>
      </c>
      <c r="D45" s="3239">
        <v>9.8000000000000004E-2</v>
      </c>
      <c r="E45" s="3239">
        <v>9.5000000000000001E-2</v>
      </c>
      <c r="F45" s="3250"/>
      <c r="G45" s="3240">
        <v>9.8000000000000004E-2</v>
      </c>
    </row>
    <row r="46" spans="1:7">
      <c r="A46" s="3249" t="s">
        <v>296</v>
      </c>
      <c r="B46" s="3238" t="s">
        <v>245</v>
      </c>
      <c r="C46" s="3239">
        <v>0.1</v>
      </c>
      <c r="D46" s="3239">
        <v>9.9000000000000005E-2</v>
      </c>
      <c r="E46" s="3239">
        <v>9.6000000000000002E-2</v>
      </c>
      <c r="F46" s="3250"/>
      <c r="G46" s="3240">
        <v>0.1</v>
      </c>
    </row>
    <row r="47" spans="1:7">
      <c r="A47" s="3249" t="s">
        <v>296</v>
      </c>
      <c r="B47" s="3238" t="s">
        <v>252</v>
      </c>
      <c r="C47" s="3239">
        <v>9.8000000000000004E-2</v>
      </c>
      <c r="D47" s="3239">
        <v>8.6999999999999994E-2</v>
      </c>
      <c r="E47" s="3239">
        <v>5.8999999999999997E-2</v>
      </c>
      <c r="F47" s="3250"/>
      <c r="G47" s="3240">
        <v>9.6000000000000002E-2</v>
      </c>
    </row>
    <row r="48" spans="1:7">
      <c r="A48" s="3249" t="s">
        <v>296</v>
      </c>
      <c r="B48" s="3238" t="s">
        <v>260</v>
      </c>
      <c r="C48" s="3239">
        <v>9.9000000000000005E-2</v>
      </c>
      <c r="D48" s="3239">
        <v>9.8000000000000004E-2</v>
      </c>
      <c r="E48" s="3239">
        <v>9.5000000000000001E-2</v>
      </c>
      <c r="F48" s="3250"/>
      <c r="G48" s="3240">
        <v>9.8000000000000004E-2</v>
      </c>
    </row>
    <row r="49" spans="1:7">
      <c r="A49" s="3249" t="s">
        <v>296</v>
      </c>
      <c r="B49" s="3238" t="s">
        <v>267</v>
      </c>
      <c r="C49" s="3239">
        <v>8.7999999999999995E-2</v>
      </c>
      <c r="D49" s="3239">
        <v>9.9000000000000005E-2</v>
      </c>
      <c r="E49" s="3239">
        <v>7.0000000000000007E-2</v>
      </c>
      <c r="F49" s="3250"/>
      <c r="G49" s="3240">
        <v>0.1</v>
      </c>
    </row>
    <row r="50" spans="1:7">
      <c r="A50" s="3249" t="s">
        <v>296</v>
      </c>
      <c r="B50" s="3238" t="s">
        <v>2902</v>
      </c>
      <c r="C50" s="3239">
        <v>9.8000000000000004E-2</v>
      </c>
      <c r="D50" s="3239">
        <v>7.2999999999999995E-2</v>
      </c>
      <c r="E50" s="3239">
        <v>7.0999999999999994E-2</v>
      </c>
      <c r="F50" s="3250"/>
      <c r="G50" s="3240">
        <v>7.2999999999999995E-2</v>
      </c>
    </row>
    <row r="51" spans="1:7">
      <c r="A51" s="3249" t="s">
        <v>296</v>
      </c>
      <c r="B51" s="3238" t="s">
        <v>2904</v>
      </c>
      <c r="C51" s="3239">
        <v>9.9000000000000005E-2</v>
      </c>
      <c r="D51" s="3239">
        <v>8.5000000000000006E-2</v>
      </c>
      <c r="E51" s="3239">
        <v>6.3E-2</v>
      </c>
      <c r="F51" s="3250"/>
      <c r="G51" s="3240">
        <v>9.6000000000000002E-2</v>
      </c>
    </row>
    <row r="52" spans="1:7">
      <c r="A52" s="3249" t="s">
        <v>296</v>
      </c>
      <c r="B52" s="3238" t="s">
        <v>2908</v>
      </c>
      <c r="C52" s="3239">
        <v>7.3999999999999996E-2</v>
      </c>
      <c r="D52" s="3239">
        <v>9.6000000000000002E-2</v>
      </c>
      <c r="E52" s="3239">
        <v>0.05</v>
      </c>
      <c r="F52" s="3250"/>
      <c r="G52" s="3240">
        <v>9.8000000000000004E-2</v>
      </c>
    </row>
    <row r="53" spans="1:7">
      <c r="A53" s="3249" t="s">
        <v>296</v>
      </c>
      <c r="B53" s="3238" t="s">
        <v>2913</v>
      </c>
      <c r="C53" s="3239">
        <v>8.5999999999999993E-2</v>
      </c>
      <c r="D53" s="3250"/>
      <c r="E53" s="3239">
        <v>9.1999999999999998E-2</v>
      </c>
      <c r="F53" s="3250"/>
      <c r="G53" s="3251"/>
    </row>
    <row r="54" spans="1:7" ht="14.25" thickBot="1">
      <c r="A54" s="3252" t="s">
        <v>296</v>
      </c>
      <c r="B54" s="3242" t="s">
        <v>2916</v>
      </c>
      <c r="C54" s="3243">
        <v>9.6000000000000002E-2</v>
      </c>
      <c r="D54" s="3244"/>
      <c r="E54" s="3253"/>
      <c r="F54" s="3244"/>
      <c r="G54" s="3254"/>
    </row>
    <row r="55" spans="1:7">
      <c r="A55" s="3248" t="s">
        <v>110</v>
      </c>
      <c r="B55" s="3234" t="s">
        <v>2833</v>
      </c>
      <c r="C55" s="3235">
        <v>9.6000000000000002E-2</v>
      </c>
      <c r="D55" s="3235">
        <v>8.4000000000000005E-2</v>
      </c>
      <c r="E55" s="3235">
        <v>9.1999999999999998E-2</v>
      </c>
      <c r="F55" s="3235">
        <v>0.1</v>
      </c>
      <c r="G55" s="3236">
        <v>9.5000000000000001E-2</v>
      </c>
    </row>
    <row r="56" spans="1:7">
      <c r="A56" s="3249" t="s">
        <v>110</v>
      </c>
      <c r="B56" s="3238" t="s">
        <v>130</v>
      </c>
      <c r="C56" s="3239">
        <v>8.4000000000000005E-2</v>
      </c>
      <c r="D56" s="3239">
        <v>9.1999999999999998E-2</v>
      </c>
      <c r="E56" s="3239">
        <v>9.5000000000000001E-2</v>
      </c>
      <c r="F56" s="3239">
        <v>9.1999999999999998E-2</v>
      </c>
      <c r="G56" s="3240">
        <v>9.6000000000000002E-2</v>
      </c>
    </row>
    <row r="57" spans="1:7">
      <c r="A57" s="3249" t="s">
        <v>110</v>
      </c>
      <c r="B57" s="3238" t="s">
        <v>139</v>
      </c>
      <c r="C57" s="3239">
        <v>9.9000000000000005E-2</v>
      </c>
      <c r="D57" s="3239">
        <v>9.6000000000000002E-2</v>
      </c>
      <c r="E57" s="3239">
        <v>9.1999999999999998E-2</v>
      </c>
      <c r="F57" s="3239">
        <v>0.1</v>
      </c>
      <c r="G57" s="3240">
        <v>9.8000000000000004E-2</v>
      </c>
    </row>
    <row r="58" spans="1:7">
      <c r="A58" s="3249" t="s">
        <v>110</v>
      </c>
      <c r="B58" s="3238" t="s">
        <v>148</v>
      </c>
      <c r="C58" s="3239">
        <v>9.8000000000000004E-2</v>
      </c>
      <c r="D58" s="3239">
        <v>9.5000000000000001E-2</v>
      </c>
      <c r="E58" s="3239">
        <v>5.7000000000000002E-2</v>
      </c>
      <c r="F58" s="3239">
        <v>0.1</v>
      </c>
      <c r="G58" s="3240">
        <v>9.6000000000000002E-2</v>
      </c>
    </row>
    <row r="59" spans="1:7">
      <c r="A59" s="3249" t="s">
        <v>110</v>
      </c>
      <c r="B59" s="3238" t="s">
        <v>157</v>
      </c>
      <c r="C59" s="3239">
        <v>9.5000000000000001E-2</v>
      </c>
      <c r="D59" s="3239">
        <v>0.1</v>
      </c>
      <c r="E59" s="3239">
        <v>7.4999999999999997E-2</v>
      </c>
      <c r="F59" s="3239">
        <v>0.1</v>
      </c>
      <c r="G59" s="3240">
        <v>0.1</v>
      </c>
    </row>
    <row r="60" spans="1:7">
      <c r="A60" s="3249" t="s">
        <v>110</v>
      </c>
      <c r="B60" s="3238" t="s">
        <v>164</v>
      </c>
      <c r="C60" s="3239">
        <v>0.1</v>
      </c>
      <c r="D60" s="3239">
        <v>9.7000000000000003E-2</v>
      </c>
      <c r="E60" s="3239">
        <v>0.1</v>
      </c>
      <c r="F60" s="3239">
        <v>0.1</v>
      </c>
      <c r="G60" s="3240">
        <v>9.7000000000000003E-2</v>
      </c>
    </row>
    <row r="61" spans="1:7">
      <c r="A61" s="3249" t="s">
        <v>110</v>
      </c>
      <c r="B61" s="3238" t="s">
        <v>170</v>
      </c>
      <c r="C61" s="3239">
        <v>9.7000000000000003E-2</v>
      </c>
      <c r="D61" s="3239">
        <v>0.1</v>
      </c>
      <c r="E61" s="3239">
        <v>9.2999999999999999E-2</v>
      </c>
      <c r="F61" s="3239">
        <v>0.1</v>
      </c>
      <c r="G61" s="3240">
        <v>0.1</v>
      </c>
    </row>
    <row r="62" spans="1:7">
      <c r="A62" s="3249" t="s">
        <v>110</v>
      </c>
      <c r="B62" s="3238" t="s">
        <v>177</v>
      </c>
      <c r="C62" s="3239">
        <v>0.1</v>
      </c>
      <c r="D62" s="3239">
        <v>9.7000000000000003E-2</v>
      </c>
      <c r="E62" s="3239">
        <v>8.8999999999999996E-2</v>
      </c>
      <c r="F62" s="3239">
        <v>0.1</v>
      </c>
      <c r="G62" s="3240">
        <v>9.8000000000000004E-2</v>
      </c>
    </row>
    <row r="63" spans="1:7">
      <c r="A63" s="3249" t="s">
        <v>110</v>
      </c>
      <c r="B63" s="3238" t="s">
        <v>187</v>
      </c>
      <c r="C63" s="3239">
        <v>9.7000000000000003E-2</v>
      </c>
      <c r="D63" s="3239">
        <v>9.7000000000000003E-2</v>
      </c>
      <c r="E63" s="3239">
        <v>9.9000000000000005E-2</v>
      </c>
      <c r="F63" s="3239">
        <v>0.1</v>
      </c>
      <c r="G63" s="3240">
        <v>9.7000000000000003E-2</v>
      </c>
    </row>
    <row r="64" spans="1:7">
      <c r="A64" s="3249" t="s">
        <v>110</v>
      </c>
      <c r="B64" s="3238" t="s">
        <v>196</v>
      </c>
      <c r="C64" s="3239">
        <v>9.7000000000000003E-2</v>
      </c>
      <c r="D64" s="3239">
        <v>7.3999999999999996E-2</v>
      </c>
      <c r="E64" s="3239">
        <v>7.8E-2</v>
      </c>
      <c r="F64" s="3239">
        <v>0.1</v>
      </c>
      <c r="G64" s="3240">
        <v>8.8999999999999996E-2</v>
      </c>
    </row>
    <row r="65" spans="1:7">
      <c r="A65" s="3249" t="s">
        <v>110</v>
      </c>
      <c r="B65" s="3238" t="s">
        <v>203</v>
      </c>
      <c r="C65" s="3239">
        <v>7.2999999999999995E-2</v>
      </c>
      <c r="D65" s="3239">
        <v>9.8000000000000004E-2</v>
      </c>
      <c r="E65" s="3239">
        <v>9.5000000000000001E-2</v>
      </c>
      <c r="F65" s="3239">
        <v>0.1</v>
      </c>
      <c r="G65" s="3240">
        <v>9.9000000000000005E-2</v>
      </c>
    </row>
    <row r="66" spans="1:7">
      <c r="A66" s="3249" t="s">
        <v>110</v>
      </c>
      <c r="B66" s="3238" t="s">
        <v>210</v>
      </c>
      <c r="C66" s="3239">
        <v>9.8000000000000004E-2</v>
      </c>
      <c r="D66" s="3239">
        <v>9.5000000000000001E-2</v>
      </c>
      <c r="E66" s="3239">
        <v>0.05</v>
      </c>
      <c r="F66" s="3239">
        <v>0.1</v>
      </c>
      <c r="G66" s="3240">
        <v>9.7000000000000003E-2</v>
      </c>
    </row>
    <row r="67" spans="1:7">
      <c r="A67" s="3249" t="s">
        <v>110</v>
      </c>
      <c r="B67" s="3238" t="s">
        <v>216</v>
      </c>
      <c r="C67" s="3239">
        <v>9.5000000000000001E-2</v>
      </c>
      <c r="D67" s="3239">
        <v>9.7000000000000003E-2</v>
      </c>
      <c r="E67" s="3239">
        <v>9.7000000000000003E-2</v>
      </c>
      <c r="F67" s="3239">
        <v>0.1</v>
      </c>
      <c r="G67" s="3240">
        <v>9.9000000000000005E-2</v>
      </c>
    </row>
    <row r="68" spans="1:7">
      <c r="A68" s="3249" t="s">
        <v>110</v>
      </c>
      <c r="B68" s="3238" t="s">
        <v>224</v>
      </c>
      <c r="C68" s="3239">
        <v>9.7000000000000003E-2</v>
      </c>
      <c r="D68" s="3239">
        <v>6.8000000000000005E-2</v>
      </c>
      <c r="E68" s="3239">
        <v>6.6000000000000003E-2</v>
      </c>
      <c r="F68" s="3239">
        <v>0.1</v>
      </c>
      <c r="G68" s="3240">
        <v>8.4000000000000005E-2</v>
      </c>
    </row>
    <row r="69" spans="1:7">
      <c r="A69" s="3249" t="s">
        <v>110</v>
      </c>
      <c r="B69" s="3238" t="s">
        <v>232</v>
      </c>
      <c r="C69" s="3239">
        <v>6.8000000000000005E-2</v>
      </c>
      <c r="D69" s="3239">
        <v>9.8000000000000004E-2</v>
      </c>
      <c r="E69" s="3239">
        <v>9.5000000000000001E-2</v>
      </c>
      <c r="F69" s="3239">
        <v>0.1</v>
      </c>
      <c r="G69" s="3240">
        <v>0.1</v>
      </c>
    </row>
    <row r="70" spans="1:7">
      <c r="A70" s="3249" t="s">
        <v>110</v>
      </c>
      <c r="B70" s="3238" t="s">
        <v>237</v>
      </c>
      <c r="C70" s="3239">
        <v>9.8000000000000004E-2</v>
      </c>
      <c r="D70" s="3239">
        <v>8.8999999999999996E-2</v>
      </c>
      <c r="E70" s="3239">
        <v>5.8999999999999997E-2</v>
      </c>
      <c r="F70" s="3239">
        <v>0.1</v>
      </c>
      <c r="G70" s="3240">
        <v>9.6000000000000002E-2</v>
      </c>
    </row>
    <row r="71" spans="1:7">
      <c r="A71" s="3249" t="s">
        <v>110</v>
      </c>
      <c r="B71" s="3238" t="s">
        <v>246</v>
      </c>
      <c r="C71" s="3239">
        <v>8.8999999999999996E-2</v>
      </c>
      <c r="D71" s="3239">
        <v>9.9000000000000005E-2</v>
      </c>
      <c r="E71" s="3239">
        <v>9.6000000000000002E-2</v>
      </c>
      <c r="F71" s="3239">
        <v>0.1</v>
      </c>
      <c r="G71" s="3240">
        <v>0.1</v>
      </c>
    </row>
    <row r="72" spans="1:7">
      <c r="A72" s="3249" t="s">
        <v>110</v>
      </c>
      <c r="B72" s="3238" t="s">
        <v>253</v>
      </c>
      <c r="C72" s="3239">
        <v>9.9000000000000005E-2</v>
      </c>
      <c r="D72" s="3239">
        <v>0.1</v>
      </c>
      <c r="E72" s="3239">
        <v>7.0000000000000007E-2</v>
      </c>
      <c r="F72" s="3250"/>
      <c r="G72" s="3240">
        <v>0.1</v>
      </c>
    </row>
    <row r="73" spans="1:7">
      <c r="A73" s="3249" t="s">
        <v>110</v>
      </c>
      <c r="B73" s="3238" t="s">
        <v>261</v>
      </c>
      <c r="C73" s="3239">
        <v>0.1</v>
      </c>
      <c r="D73" s="3239">
        <v>0.1</v>
      </c>
      <c r="E73" s="3239">
        <v>9.6000000000000002E-2</v>
      </c>
      <c r="F73" s="3250"/>
      <c r="G73" s="3240">
        <v>0.1</v>
      </c>
    </row>
    <row r="74" spans="1:7">
      <c r="A74" s="3249" t="s">
        <v>110</v>
      </c>
      <c r="B74" s="3238" t="s">
        <v>268</v>
      </c>
      <c r="C74" s="3239">
        <v>0.1</v>
      </c>
      <c r="D74" s="3239">
        <v>0.1</v>
      </c>
      <c r="E74" s="3239">
        <v>9.8000000000000004E-2</v>
      </c>
      <c r="F74" s="3250"/>
      <c r="G74" s="3240">
        <v>0.1</v>
      </c>
    </row>
    <row r="75" spans="1:7">
      <c r="A75" s="3249" t="s">
        <v>110</v>
      </c>
      <c r="B75" s="3238" t="s">
        <v>272</v>
      </c>
      <c r="C75" s="3239">
        <v>0.1</v>
      </c>
      <c r="D75" s="3239">
        <v>9.9000000000000005E-2</v>
      </c>
      <c r="E75" s="3239">
        <v>9.8000000000000004E-2</v>
      </c>
      <c r="F75" s="3250"/>
      <c r="G75" s="3240">
        <v>0.1</v>
      </c>
    </row>
    <row r="76" spans="1:7">
      <c r="A76" s="3249" t="s">
        <v>110</v>
      </c>
      <c r="B76" s="3238" t="s">
        <v>278</v>
      </c>
      <c r="C76" s="3239">
        <v>9.9000000000000005E-2</v>
      </c>
      <c r="D76" s="3239">
        <v>0.1</v>
      </c>
      <c r="E76" s="3239">
        <v>9.7000000000000003E-2</v>
      </c>
      <c r="F76" s="3250"/>
      <c r="G76" s="3240">
        <v>0.1</v>
      </c>
    </row>
    <row r="77" spans="1:7">
      <c r="A77" s="3249" t="s">
        <v>110</v>
      </c>
      <c r="B77" s="3238" t="s">
        <v>281</v>
      </c>
      <c r="C77" s="3239">
        <v>0.1</v>
      </c>
      <c r="D77" s="3239">
        <v>0.1</v>
      </c>
      <c r="E77" s="3239">
        <v>9.6000000000000002E-2</v>
      </c>
      <c r="F77" s="3250"/>
      <c r="G77" s="3240">
        <v>0.1</v>
      </c>
    </row>
    <row r="78" spans="1:7">
      <c r="A78" s="3249" t="s">
        <v>110</v>
      </c>
      <c r="B78" s="3238" t="s">
        <v>2914</v>
      </c>
      <c r="C78" s="3239">
        <v>0.1</v>
      </c>
      <c r="D78" s="3239">
        <v>8.5000000000000006E-2</v>
      </c>
      <c r="E78" s="3239">
        <v>9.6000000000000002E-2</v>
      </c>
      <c r="F78" s="3250"/>
      <c r="G78" s="3240">
        <v>9.6000000000000002E-2</v>
      </c>
    </row>
    <row r="79" spans="1:7">
      <c r="A79" s="3249" t="s">
        <v>110</v>
      </c>
      <c r="B79" s="3238" t="s">
        <v>2917</v>
      </c>
      <c r="C79" s="3239">
        <v>0.05</v>
      </c>
      <c r="D79" s="3239">
        <v>9.6000000000000002E-2</v>
      </c>
      <c r="E79" s="3239">
        <v>9.5000000000000001E-2</v>
      </c>
      <c r="F79" s="3250"/>
      <c r="G79" s="3240">
        <v>9.8000000000000004E-2</v>
      </c>
    </row>
    <row r="80" spans="1:7">
      <c r="A80" s="3249" t="s">
        <v>110</v>
      </c>
      <c r="B80" s="3238" t="s">
        <v>2921</v>
      </c>
      <c r="C80" s="3239">
        <v>8.5999999999999993E-2</v>
      </c>
      <c r="D80" s="3255"/>
      <c r="E80" s="3239">
        <v>0.1</v>
      </c>
      <c r="F80" s="3250"/>
      <c r="G80" s="3251"/>
    </row>
    <row r="81" spans="1:7">
      <c r="A81" s="3249" t="s">
        <v>110</v>
      </c>
      <c r="B81" s="3238" t="s">
        <v>2926</v>
      </c>
      <c r="C81" s="3239">
        <v>9.6000000000000002E-2</v>
      </c>
      <c r="D81" s="3250"/>
      <c r="E81" s="3239">
        <v>9.8000000000000004E-2</v>
      </c>
      <c r="F81" s="3250"/>
      <c r="G81" s="3251"/>
    </row>
    <row r="82" spans="1:7">
      <c r="A82" s="3249" t="s">
        <v>110</v>
      </c>
      <c r="B82" s="3238" t="s">
        <v>2933</v>
      </c>
      <c r="C82" s="3255"/>
      <c r="D82" s="3250"/>
      <c r="E82" s="3239">
        <v>7.6999999999999999E-2</v>
      </c>
      <c r="F82" s="3250"/>
      <c r="G82" s="3251"/>
    </row>
    <row r="83" spans="1:7">
      <c r="A83" s="3249" t="s">
        <v>110</v>
      </c>
      <c r="B83" s="3238" t="s">
        <v>2939</v>
      </c>
      <c r="C83" s="3250"/>
      <c r="D83" s="3250"/>
      <c r="E83" s="3250"/>
      <c r="F83" s="3239">
        <v>0.1</v>
      </c>
      <c r="G83" s="3256"/>
    </row>
    <row r="84" spans="1:7">
      <c r="A84" s="3249" t="s">
        <v>110</v>
      </c>
      <c r="B84" s="3238" t="s">
        <v>2946</v>
      </c>
      <c r="C84" s="3250"/>
      <c r="D84" s="3250"/>
      <c r="E84" s="3250"/>
      <c r="F84" s="3239">
        <v>0.1</v>
      </c>
      <c r="G84" s="3256"/>
    </row>
    <row r="85" spans="1:7">
      <c r="A85" s="3249" t="s">
        <v>110</v>
      </c>
      <c r="B85" s="3238" t="s">
        <v>2953</v>
      </c>
      <c r="C85" s="3250"/>
      <c r="D85" s="3250"/>
      <c r="E85" s="3250"/>
      <c r="F85" s="3239">
        <v>0.1</v>
      </c>
      <c r="G85" s="3256"/>
    </row>
    <row r="86" spans="1:7" ht="14.25" thickBot="1">
      <c r="A86" s="3252" t="s">
        <v>110</v>
      </c>
      <c r="B86" s="3242" t="s">
        <v>2958</v>
      </c>
      <c r="C86" s="3243">
        <v>9.8000000000000004E-2</v>
      </c>
      <c r="D86" s="3243">
        <v>9.8000000000000004E-2</v>
      </c>
      <c r="E86" s="3243">
        <v>9.6000000000000002E-2</v>
      </c>
      <c r="F86" s="3253"/>
      <c r="G86" s="3245">
        <v>0.1</v>
      </c>
    </row>
    <row r="87" spans="1:7">
      <c r="A87" s="3248" t="s">
        <v>303</v>
      </c>
      <c r="B87" s="3234" t="s">
        <v>2834</v>
      </c>
      <c r="C87" s="3235">
        <v>0.1</v>
      </c>
      <c r="D87" s="3235">
        <v>0.1</v>
      </c>
      <c r="E87" s="3235">
        <v>9.8000000000000004E-2</v>
      </c>
      <c r="F87" s="3235">
        <v>0.1</v>
      </c>
      <c r="G87" s="3236">
        <v>0.1</v>
      </c>
    </row>
    <row r="88" spans="1:7">
      <c r="A88" s="3249" t="s">
        <v>303</v>
      </c>
      <c r="B88" s="3238" t="s">
        <v>131</v>
      </c>
      <c r="C88" s="3239">
        <v>9.0999999999999998E-2</v>
      </c>
      <c r="D88" s="3239">
        <v>9.1999999999999998E-2</v>
      </c>
      <c r="E88" s="3239">
        <v>0.1</v>
      </c>
      <c r="F88" s="3239">
        <v>0.1</v>
      </c>
      <c r="G88" s="3240">
        <v>9.6000000000000002E-2</v>
      </c>
    </row>
    <row r="89" spans="1:7">
      <c r="A89" s="3249" t="s">
        <v>303</v>
      </c>
      <c r="B89" s="3238" t="s">
        <v>140</v>
      </c>
      <c r="C89" s="3239">
        <v>0.1</v>
      </c>
      <c r="D89" s="3239">
        <v>0.1</v>
      </c>
      <c r="E89" s="3239">
        <v>6.7000000000000004E-2</v>
      </c>
      <c r="F89" s="3239">
        <v>9.2999999999999999E-2</v>
      </c>
      <c r="G89" s="3240">
        <v>0.1</v>
      </c>
    </row>
    <row r="90" spans="1:7">
      <c r="A90" s="3249" t="s">
        <v>303</v>
      </c>
      <c r="B90" s="3238" t="s">
        <v>149</v>
      </c>
      <c r="C90" s="3239">
        <v>9.6000000000000002E-2</v>
      </c>
      <c r="D90" s="3239">
        <v>9.6000000000000002E-2</v>
      </c>
      <c r="E90" s="3239">
        <v>0.1</v>
      </c>
      <c r="F90" s="3239">
        <v>0.1</v>
      </c>
      <c r="G90" s="3240">
        <v>9.8000000000000004E-2</v>
      </c>
    </row>
    <row r="91" spans="1:7">
      <c r="A91" s="3249" t="s">
        <v>303</v>
      </c>
      <c r="B91" s="3238" t="s">
        <v>158</v>
      </c>
      <c r="C91" s="3239">
        <v>7.6999999999999999E-2</v>
      </c>
      <c r="D91" s="3239">
        <v>7.6999999999999999E-2</v>
      </c>
      <c r="E91" s="3239">
        <v>9.6000000000000002E-2</v>
      </c>
      <c r="F91" s="3239">
        <v>0.1</v>
      </c>
      <c r="G91" s="3240">
        <v>7.6999999999999999E-2</v>
      </c>
    </row>
    <row r="92" spans="1:7">
      <c r="A92" s="3249" t="s">
        <v>303</v>
      </c>
      <c r="B92" s="3238" t="s">
        <v>165</v>
      </c>
      <c r="C92" s="3239">
        <v>0.1</v>
      </c>
      <c r="D92" s="3239">
        <v>0.1</v>
      </c>
      <c r="E92" s="3239">
        <v>9.1999999999999998E-2</v>
      </c>
      <c r="F92" s="3239">
        <v>0.1</v>
      </c>
      <c r="G92" s="3240">
        <v>0.1</v>
      </c>
    </row>
    <row r="93" spans="1:7">
      <c r="A93" s="3249" t="s">
        <v>303</v>
      </c>
      <c r="B93" s="3238" t="s">
        <v>171</v>
      </c>
      <c r="C93" s="3239">
        <v>9.8000000000000004E-2</v>
      </c>
      <c r="D93" s="3239">
        <v>9.8000000000000004E-2</v>
      </c>
      <c r="E93" s="3239">
        <v>9.6000000000000002E-2</v>
      </c>
      <c r="F93" s="3239">
        <v>0.1</v>
      </c>
      <c r="G93" s="3240">
        <v>9.9000000000000005E-2</v>
      </c>
    </row>
    <row r="94" spans="1:7">
      <c r="A94" s="3249" t="s">
        <v>303</v>
      </c>
      <c r="B94" s="3238" t="s">
        <v>178</v>
      </c>
      <c r="C94" s="3239">
        <v>8.7999999999999995E-2</v>
      </c>
      <c r="D94" s="3239">
        <v>8.7999999999999995E-2</v>
      </c>
      <c r="E94" s="3239">
        <v>9.6000000000000002E-2</v>
      </c>
      <c r="F94" s="3239">
        <v>0.1</v>
      </c>
      <c r="G94" s="3240">
        <v>8.7999999999999995E-2</v>
      </c>
    </row>
    <row r="95" spans="1:7">
      <c r="A95" s="3249" t="s">
        <v>303</v>
      </c>
      <c r="B95" s="3238" t="s">
        <v>188</v>
      </c>
      <c r="C95" s="3239">
        <v>9.6000000000000002E-2</v>
      </c>
      <c r="D95" s="3239">
        <v>9.6000000000000002E-2</v>
      </c>
      <c r="E95" s="3239">
        <v>0.1</v>
      </c>
      <c r="F95" s="3239">
        <v>0.1</v>
      </c>
      <c r="G95" s="3240">
        <v>9.8000000000000004E-2</v>
      </c>
    </row>
    <row r="96" spans="1:7">
      <c r="A96" s="3249" t="s">
        <v>303</v>
      </c>
      <c r="B96" s="3238" t="s">
        <v>197</v>
      </c>
      <c r="C96" s="3239">
        <v>9.7000000000000003E-2</v>
      </c>
      <c r="D96" s="3239">
        <v>9.7000000000000003E-2</v>
      </c>
      <c r="E96" s="3239">
        <v>0.1</v>
      </c>
      <c r="F96" s="3239">
        <v>0.1</v>
      </c>
      <c r="G96" s="3240">
        <v>9.8000000000000004E-2</v>
      </c>
    </row>
    <row r="97" spans="1:7">
      <c r="A97" s="3249" t="s">
        <v>303</v>
      </c>
      <c r="B97" s="3238" t="s">
        <v>204</v>
      </c>
      <c r="C97" s="3239">
        <v>9.6000000000000002E-2</v>
      </c>
      <c r="D97" s="3239">
        <v>9.6000000000000002E-2</v>
      </c>
      <c r="E97" s="3239">
        <v>9.9000000000000005E-2</v>
      </c>
      <c r="F97" s="3239">
        <v>0.1</v>
      </c>
      <c r="G97" s="3240">
        <v>9.8000000000000004E-2</v>
      </c>
    </row>
    <row r="98" spans="1:7">
      <c r="A98" s="3249" t="s">
        <v>303</v>
      </c>
      <c r="B98" s="3238" t="s">
        <v>211</v>
      </c>
      <c r="C98" s="3239">
        <v>9.8000000000000004E-2</v>
      </c>
      <c r="D98" s="3239">
        <v>9.8000000000000004E-2</v>
      </c>
      <c r="E98" s="3239">
        <v>0.1</v>
      </c>
      <c r="F98" s="3239">
        <v>0.1</v>
      </c>
      <c r="G98" s="3240">
        <v>9.9000000000000005E-2</v>
      </c>
    </row>
    <row r="99" spans="1:7">
      <c r="A99" s="3249" t="s">
        <v>303</v>
      </c>
      <c r="B99" s="3238" t="s">
        <v>217</v>
      </c>
      <c r="C99" s="3239">
        <v>9.6000000000000002E-2</v>
      </c>
      <c r="D99" s="3239">
        <v>9.6000000000000002E-2</v>
      </c>
      <c r="E99" s="3239">
        <v>0.1</v>
      </c>
      <c r="F99" s="3239">
        <v>0.1</v>
      </c>
      <c r="G99" s="3240">
        <v>9.7000000000000003E-2</v>
      </c>
    </row>
    <row r="100" spans="1:7">
      <c r="A100" s="3249" t="s">
        <v>303</v>
      </c>
      <c r="B100" s="3238" t="s">
        <v>225</v>
      </c>
      <c r="C100" s="3239">
        <v>0.1</v>
      </c>
      <c r="D100" s="3239">
        <v>0.1</v>
      </c>
      <c r="E100" s="3239">
        <v>9.7000000000000003E-2</v>
      </c>
      <c r="F100" s="3239">
        <v>9.8000000000000004E-2</v>
      </c>
      <c r="G100" s="3240">
        <v>0.1</v>
      </c>
    </row>
    <row r="101" spans="1:7">
      <c r="A101" s="3249" t="s">
        <v>303</v>
      </c>
      <c r="B101" s="3238" t="s">
        <v>233</v>
      </c>
      <c r="C101" s="3239">
        <v>0.1</v>
      </c>
      <c r="D101" s="3239">
        <v>0.1</v>
      </c>
      <c r="E101" s="3239">
        <v>9.5000000000000001E-2</v>
      </c>
      <c r="F101" s="3239">
        <v>0.1</v>
      </c>
      <c r="G101" s="3240">
        <v>0.1</v>
      </c>
    </row>
    <row r="102" spans="1:7">
      <c r="A102" s="3249" t="s">
        <v>303</v>
      </c>
      <c r="B102" s="3238" t="s">
        <v>238</v>
      </c>
      <c r="C102" s="3239">
        <v>0.1</v>
      </c>
      <c r="D102" s="3239">
        <v>0.1</v>
      </c>
      <c r="E102" s="3239">
        <v>9.9000000000000005E-2</v>
      </c>
      <c r="F102" s="3239">
        <v>9.7000000000000003E-2</v>
      </c>
      <c r="G102" s="3240">
        <v>0.1</v>
      </c>
    </row>
    <row r="103" spans="1:7">
      <c r="A103" s="3249" t="s">
        <v>303</v>
      </c>
      <c r="B103" s="3238" t="s">
        <v>247</v>
      </c>
      <c r="C103" s="3239">
        <v>0.1</v>
      </c>
      <c r="D103" s="3239">
        <v>0.1</v>
      </c>
      <c r="E103" s="3239">
        <v>9.8000000000000004E-2</v>
      </c>
      <c r="F103" s="3239">
        <v>0.1</v>
      </c>
      <c r="G103" s="3240">
        <v>0.1</v>
      </c>
    </row>
    <row r="104" spans="1:7">
      <c r="A104" s="3249" t="s">
        <v>303</v>
      </c>
      <c r="B104" s="3238" t="s">
        <v>254</v>
      </c>
      <c r="C104" s="3239">
        <v>0.1</v>
      </c>
      <c r="D104" s="3239">
        <v>0.1</v>
      </c>
      <c r="E104" s="3239">
        <v>9.8000000000000004E-2</v>
      </c>
      <c r="F104" s="3239">
        <v>0.1</v>
      </c>
      <c r="G104" s="3240">
        <v>0.1</v>
      </c>
    </row>
    <row r="105" spans="1:7">
      <c r="A105" s="3249" t="s">
        <v>303</v>
      </c>
      <c r="B105" s="3238" t="s">
        <v>262</v>
      </c>
      <c r="C105" s="3239">
        <v>9.8000000000000004E-2</v>
      </c>
      <c r="D105" s="3239">
        <v>9.8000000000000004E-2</v>
      </c>
      <c r="E105" s="3239">
        <v>9.8000000000000004E-2</v>
      </c>
      <c r="F105" s="3239">
        <v>0.1</v>
      </c>
      <c r="G105" s="3240">
        <v>9.9000000000000005E-2</v>
      </c>
    </row>
    <row r="106" spans="1:7">
      <c r="A106" s="3249" t="s">
        <v>303</v>
      </c>
      <c r="B106" s="3238" t="s">
        <v>269</v>
      </c>
      <c r="C106" s="3239">
        <v>9.7000000000000003E-2</v>
      </c>
      <c r="D106" s="3239">
        <v>9.7000000000000003E-2</v>
      </c>
      <c r="E106" s="3239">
        <v>9.7000000000000003E-2</v>
      </c>
      <c r="F106" s="3239">
        <v>0.1</v>
      </c>
      <c r="G106" s="3240">
        <v>9.9000000000000005E-2</v>
      </c>
    </row>
    <row r="107" spans="1:7">
      <c r="A107" s="3249" t="s">
        <v>303</v>
      </c>
      <c r="B107" s="3238" t="s">
        <v>273</v>
      </c>
      <c r="C107" s="3239">
        <v>0.1</v>
      </c>
      <c r="D107" s="3239">
        <v>0.1</v>
      </c>
      <c r="E107" s="3239">
        <v>8.5999999999999993E-2</v>
      </c>
      <c r="F107" s="3239">
        <v>0.09</v>
      </c>
      <c r="G107" s="3240">
        <v>0.1</v>
      </c>
    </row>
    <row r="108" spans="1:7">
      <c r="A108" s="3249" t="s">
        <v>303</v>
      </c>
      <c r="B108" s="3238" t="s">
        <v>279</v>
      </c>
      <c r="C108" s="3239">
        <v>0.1</v>
      </c>
      <c r="D108" s="3239">
        <v>0.1</v>
      </c>
      <c r="E108" s="3239">
        <v>9.6000000000000002E-2</v>
      </c>
      <c r="F108" s="3250"/>
      <c r="G108" s="3240">
        <v>0.1</v>
      </c>
    </row>
    <row r="109" spans="1:7">
      <c r="A109" s="3249" t="s">
        <v>303</v>
      </c>
      <c r="B109" s="3238" t="s">
        <v>282</v>
      </c>
      <c r="C109" s="3239">
        <v>0.1</v>
      </c>
      <c r="D109" s="3239">
        <v>0.1</v>
      </c>
      <c r="E109" s="3239">
        <v>0.1</v>
      </c>
      <c r="F109" s="3250"/>
      <c r="G109" s="3240">
        <v>0.1</v>
      </c>
    </row>
    <row r="110" spans="1:7">
      <c r="A110" s="3249" t="s">
        <v>303</v>
      </c>
      <c r="B110" s="3238" t="s">
        <v>284</v>
      </c>
      <c r="C110" s="3239">
        <v>0.1</v>
      </c>
      <c r="D110" s="3239">
        <v>0.1</v>
      </c>
      <c r="E110" s="3239">
        <v>0.1</v>
      </c>
      <c r="F110" s="3250"/>
      <c r="G110" s="3240">
        <v>0.1</v>
      </c>
    </row>
    <row r="111" spans="1:7">
      <c r="A111" s="3249" t="s">
        <v>303</v>
      </c>
      <c r="B111" s="3238" t="s">
        <v>287</v>
      </c>
      <c r="C111" s="3239">
        <v>0.1</v>
      </c>
      <c r="D111" s="3239">
        <v>0.1</v>
      </c>
      <c r="E111" s="3239">
        <v>9.5000000000000001E-2</v>
      </c>
      <c r="F111" s="3250"/>
      <c r="G111" s="3240">
        <v>0.1</v>
      </c>
    </row>
    <row r="112" spans="1:7">
      <c r="A112" s="3249" t="s">
        <v>303</v>
      </c>
      <c r="B112" s="3238" t="s">
        <v>291</v>
      </c>
      <c r="C112" s="3239">
        <v>9.7000000000000003E-2</v>
      </c>
      <c r="D112" s="3239">
        <v>9.7000000000000003E-2</v>
      </c>
      <c r="E112" s="3239">
        <v>0.05</v>
      </c>
      <c r="F112" s="3250"/>
      <c r="G112" s="3240">
        <v>9.8000000000000004E-2</v>
      </c>
    </row>
    <row r="113" spans="1:7">
      <c r="A113" s="3249" t="s">
        <v>303</v>
      </c>
      <c r="B113" s="3238" t="s">
        <v>2927</v>
      </c>
      <c r="C113" s="3239">
        <v>0.1</v>
      </c>
      <c r="D113" s="3239">
        <v>0.1</v>
      </c>
      <c r="E113" s="3250"/>
      <c r="F113" s="3250"/>
      <c r="G113" s="3240">
        <v>0.1</v>
      </c>
    </row>
    <row r="114" spans="1:7">
      <c r="A114" s="3249" t="s">
        <v>303</v>
      </c>
      <c r="B114" s="3238" t="s">
        <v>2934</v>
      </c>
      <c r="C114" s="3239">
        <v>9.7000000000000003E-2</v>
      </c>
      <c r="D114" s="3239">
        <v>9.7000000000000003E-2</v>
      </c>
      <c r="E114" s="3250"/>
      <c r="F114" s="3250"/>
      <c r="G114" s="3240">
        <v>9.9000000000000005E-2</v>
      </c>
    </row>
    <row r="115" spans="1:7">
      <c r="A115" s="3249" t="s">
        <v>303</v>
      </c>
      <c r="B115" s="3238" t="s">
        <v>2940</v>
      </c>
      <c r="C115" s="3239">
        <v>0.1</v>
      </c>
      <c r="D115" s="3239">
        <v>0.1</v>
      </c>
      <c r="E115" s="3250"/>
      <c r="F115" s="3250"/>
      <c r="G115" s="3240">
        <v>0.1</v>
      </c>
    </row>
    <row r="116" spans="1:7">
      <c r="A116" s="3249" t="s">
        <v>303</v>
      </c>
      <c r="B116" s="3238" t="s">
        <v>2947</v>
      </c>
      <c r="C116" s="3239">
        <v>0.1</v>
      </c>
      <c r="D116" s="3239">
        <v>0.1</v>
      </c>
      <c r="E116" s="3250"/>
      <c r="F116" s="3250"/>
      <c r="G116" s="3240">
        <v>0.1</v>
      </c>
    </row>
    <row r="117" spans="1:7">
      <c r="A117" s="3249" t="s">
        <v>303</v>
      </c>
      <c r="B117" s="3238" t="s">
        <v>2954</v>
      </c>
      <c r="C117" s="3239">
        <v>9.7000000000000003E-2</v>
      </c>
      <c r="D117" s="3239">
        <v>9.7000000000000003E-2</v>
      </c>
      <c r="E117" s="3250"/>
      <c r="F117" s="3250"/>
      <c r="G117" s="3240">
        <v>9.7000000000000003E-2</v>
      </c>
    </row>
    <row r="118" spans="1:7">
      <c r="A118" s="3249" t="s">
        <v>303</v>
      </c>
      <c r="B118" s="3238" t="s">
        <v>2959</v>
      </c>
      <c r="C118" s="3239">
        <v>0.1</v>
      </c>
      <c r="D118" s="3239">
        <v>0.1</v>
      </c>
      <c r="E118" s="3250"/>
      <c r="F118" s="3250"/>
      <c r="G118" s="3240">
        <v>0.1</v>
      </c>
    </row>
    <row r="119" spans="1:7">
      <c r="A119" s="3249" t="s">
        <v>303</v>
      </c>
      <c r="B119" s="3238" t="s">
        <v>2963</v>
      </c>
      <c r="C119" s="3239">
        <v>5.0999999999999997E-2</v>
      </c>
      <c r="D119" s="3239">
        <v>5.1999999999999998E-2</v>
      </c>
      <c r="E119" s="3250"/>
      <c r="F119" s="3255"/>
      <c r="G119" s="3240">
        <v>0.06</v>
      </c>
    </row>
    <row r="120" spans="1:7">
      <c r="A120" s="3249" t="s">
        <v>303</v>
      </c>
      <c r="B120" s="3238" t="s">
        <v>2967</v>
      </c>
      <c r="C120" s="3250"/>
      <c r="D120" s="3250"/>
      <c r="E120" s="3250"/>
      <c r="F120" s="3239">
        <v>0.1</v>
      </c>
      <c r="G120" s="3256"/>
    </row>
    <row r="121" spans="1:7">
      <c r="A121" s="3249" t="s">
        <v>303</v>
      </c>
      <c r="B121" s="3238" t="s">
        <v>2972</v>
      </c>
      <c r="C121" s="3250"/>
      <c r="D121" s="3250"/>
      <c r="E121" s="3250"/>
      <c r="F121" s="3239">
        <v>0.1</v>
      </c>
      <c r="G121" s="3256"/>
    </row>
    <row r="122" spans="1:7">
      <c r="A122" s="3249" t="s">
        <v>303</v>
      </c>
      <c r="B122" s="3238" t="s">
        <v>2977</v>
      </c>
      <c r="C122" s="3239">
        <v>0.1</v>
      </c>
      <c r="D122" s="3239">
        <v>0.1</v>
      </c>
      <c r="E122" s="3239">
        <v>9.8000000000000004E-2</v>
      </c>
      <c r="F122" s="3239">
        <v>0.1</v>
      </c>
      <c r="G122" s="3240">
        <v>0.1</v>
      </c>
    </row>
    <row r="123" spans="1:7">
      <c r="A123" s="3249" t="s">
        <v>303</v>
      </c>
      <c r="B123" s="3238" t="s">
        <v>2982</v>
      </c>
      <c r="C123" s="3239">
        <v>0.1</v>
      </c>
      <c r="D123" s="3239">
        <v>0.1</v>
      </c>
      <c r="E123" s="3239">
        <v>9.8000000000000004E-2</v>
      </c>
      <c r="F123" s="3239">
        <v>0.1</v>
      </c>
      <c r="G123" s="3240">
        <v>0.1</v>
      </c>
    </row>
    <row r="124" spans="1:7">
      <c r="A124" s="3249" t="s">
        <v>303</v>
      </c>
      <c r="B124" s="3238" t="s">
        <v>2987</v>
      </c>
      <c r="C124" s="3239">
        <v>0.1</v>
      </c>
      <c r="D124" s="3239">
        <v>0.1</v>
      </c>
      <c r="E124" s="3239">
        <v>9.8000000000000004E-2</v>
      </c>
      <c r="F124" s="3255"/>
      <c r="G124" s="3240">
        <v>0.1</v>
      </c>
    </row>
    <row r="125" spans="1:7">
      <c r="A125" s="3249" t="s">
        <v>303</v>
      </c>
      <c r="B125" s="3238" t="s">
        <v>2992</v>
      </c>
      <c r="C125" s="3239">
        <v>9.8000000000000004E-2</v>
      </c>
      <c r="D125" s="3239">
        <v>9.8000000000000004E-2</v>
      </c>
      <c r="E125" s="3239">
        <v>9.6000000000000002E-2</v>
      </c>
      <c r="F125" s="3255"/>
      <c r="G125" s="3240">
        <v>0.1</v>
      </c>
    </row>
    <row r="126" spans="1:7" ht="14.25" thickBot="1">
      <c r="A126" s="3252" t="s">
        <v>303</v>
      </c>
      <c r="B126" s="3242" t="s">
        <v>3158</v>
      </c>
      <c r="C126" s="3243">
        <v>0.1</v>
      </c>
      <c r="D126" s="3243">
        <v>0.1</v>
      </c>
      <c r="E126" s="3243">
        <v>9.8000000000000004E-2</v>
      </c>
      <c r="F126" s="3243">
        <v>0.1</v>
      </c>
      <c r="G126" s="3245">
        <v>0.1</v>
      </c>
    </row>
    <row r="127" spans="1:7">
      <c r="A127" s="3248" t="s">
        <v>29</v>
      </c>
      <c r="B127" s="3234" t="s">
        <v>2835</v>
      </c>
      <c r="C127" s="3235">
        <v>0.121</v>
      </c>
      <c r="D127" s="3235">
        <v>0.121</v>
      </c>
      <c r="E127" s="3235">
        <v>0.107</v>
      </c>
      <c r="F127" s="3235">
        <v>0.13</v>
      </c>
      <c r="G127" s="3236">
        <v>0.122</v>
      </c>
    </row>
    <row r="128" spans="1:7">
      <c r="A128" s="3249" t="s">
        <v>29</v>
      </c>
      <c r="B128" s="3238" t="s">
        <v>132</v>
      </c>
      <c r="C128" s="3239">
        <v>0.11600000000000001</v>
      </c>
      <c r="D128" s="3239">
        <v>0.11700000000000001</v>
      </c>
      <c r="E128" s="3239">
        <v>0.104</v>
      </c>
      <c r="F128" s="3239">
        <v>0.13</v>
      </c>
      <c r="G128" s="3240">
        <v>0.11700000000000001</v>
      </c>
    </row>
    <row r="129" spans="1:7">
      <c r="A129" s="3249" t="s">
        <v>29</v>
      </c>
      <c r="B129" s="3238" t="s">
        <v>141</v>
      </c>
      <c r="C129" s="3239">
        <v>0.107</v>
      </c>
      <c r="D129" s="3239">
        <v>0.108</v>
      </c>
      <c r="E129" s="3239">
        <v>0.1</v>
      </c>
      <c r="F129" s="3239">
        <v>0.13</v>
      </c>
      <c r="G129" s="3240">
        <v>0.11700000000000001</v>
      </c>
    </row>
    <row r="130" spans="1:7">
      <c r="A130" s="3249" t="s">
        <v>29</v>
      </c>
      <c r="B130" s="3238" t="s">
        <v>150</v>
      </c>
      <c r="C130" s="3239">
        <v>0.13</v>
      </c>
      <c r="D130" s="3239">
        <v>0.13</v>
      </c>
      <c r="E130" s="3239">
        <v>0.126</v>
      </c>
      <c r="F130" s="3239">
        <v>0.13</v>
      </c>
      <c r="G130" s="3240">
        <v>0.13</v>
      </c>
    </row>
    <row r="131" spans="1:7">
      <c r="A131" s="3249" t="s">
        <v>29</v>
      </c>
      <c r="B131" s="3238" t="s">
        <v>159</v>
      </c>
      <c r="C131" s="3239">
        <v>0.13</v>
      </c>
      <c r="D131" s="3239">
        <v>0.13</v>
      </c>
      <c r="E131" s="3239">
        <v>0.13</v>
      </c>
      <c r="F131" s="3239">
        <v>0.13</v>
      </c>
      <c r="G131" s="3240">
        <v>0.13</v>
      </c>
    </row>
    <row r="132" spans="1:7">
      <c r="A132" s="3249" t="s">
        <v>29</v>
      </c>
      <c r="B132" s="3238" t="s">
        <v>166</v>
      </c>
      <c r="C132" s="3239">
        <v>0.13</v>
      </c>
      <c r="D132" s="3239">
        <v>0.13</v>
      </c>
      <c r="E132" s="3239">
        <v>0.126</v>
      </c>
      <c r="F132" s="3239">
        <v>0.13</v>
      </c>
      <c r="G132" s="3240">
        <v>0.13</v>
      </c>
    </row>
    <row r="133" spans="1:7">
      <c r="A133" s="3249" t="s">
        <v>29</v>
      </c>
      <c r="B133" s="3238" t="s">
        <v>172</v>
      </c>
      <c r="C133" s="3239">
        <v>0.111</v>
      </c>
      <c r="D133" s="3239">
        <v>0.111</v>
      </c>
      <c r="E133" s="3239">
        <v>0.10199999999999999</v>
      </c>
      <c r="F133" s="3239">
        <v>0.13</v>
      </c>
      <c r="G133" s="3240">
        <v>0.121</v>
      </c>
    </row>
    <row r="134" spans="1:7">
      <c r="A134" s="3249" t="s">
        <v>29</v>
      </c>
      <c r="B134" s="3238" t="s">
        <v>179</v>
      </c>
      <c r="C134" s="3239">
        <v>0.121</v>
      </c>
      <c r="D134" s="3239">
        <v>0.121</v>
      </c>
      <c r="E134" s="3239">
        <v>0.1</v>
      </c>
      <c r="F134" s="3239">
        <v>0.13</v>
      </c>
      <c r="G134" s="3240">
        <v>0.123</v>
      </c>
    </row>
    <row r="135" spans="1:7">
      <c r="A135" s="3249" t="s">
        <v>29</v>
      </c>
      <c r="B135" s="3238" t="s">
        <v>189</v>
      </c>
      <c r="C135" s="3239">
        <v>0.105</v>
      </c>
      <c r="D135" s="3239">
        <v>0.106</v>
      </c>
      <c r="E135" s="3239">
        <v>0.1</v>
      </c>
      <c r="F135" s="3239">
        <v>0.13</v>
      </c>
      <c r="G135" s="3240">
        <v>0.115</v>
      </c>
    </row>
    <row r="136" spans="1:7">
      <c r="A136" s="3249" t="s">
        <v>29</v>
      </c>
      <c r="B136" s="3238" t="s">
        <v>198</v>
      </c>
      <c r="C136" s="3239">
        <v>0.127</v>
      </c>
      <c r="D136" s="3239">
        <v>0.127</v>
      </c>
      <c r="E136" s="3239">
        <v>0.121</v>
      </c>
      <c r="F136" s="3239">
        <v>0.123</v>
      </c>
      <c r="G136" s="3240">
        <v>0.129</v>
      </c>
    </row>
    <row r="137" spans="1:7">
      <c r="A137" s="3249" t="s">
        <v>29</v>
      </c>
      <c r="B137" s="3238" t="s">
        <v>205</v>
      </c>
      <c r="C137" s="3239">
        <v>0.13</v>
      </c>
      <c r="D137" s="3239">
        <v>0.13</v>
      </c>
      <c r="E137" s="3239">
        <v>0.129</v>
      </c>
      <c r="F137" s="3239">
        <v>0.13</v>
      </c>
      <c r="G137" s="3240">
        <v>0.13</v>
      </c>
    </row>
    <row r="138" spans="1:7">
      <c r="A138" s="3249" t="s">
        <v>29</v>
      </c>
      <c r="B138" s="3238" t="s">
        <v>212</v>
      </c>
      <c r="C138" s="3239">
        <v>0.13</v>
      </c>
      <c r="D138" s="3239">
        <v>0.13</v>
      </c>
      <c r="E138" s="3239">
        <v>0.125</v>
      </c>
      <c r="F138" s="3239">
        <v>0.13</v>
      </c>
      <c r="G138" s="3240">
        <v>0.13</v>
      </c>
    </row>
    <row r="139" spans="1:7">
      <c r="A139" s="3249" t="s">
        <v>29</v>
      </c>
      <c r="B139" s="3238" t="s">
        <v>218</v>
      </c>
      <c r="C139" s="3239">
        <v>0.13</v>
      </c>
      <c r="D139" s="3239">
        <v>0.13</v>
      </c>
      <c r="E139" s="3239">
        <v>0.126</v>
      </c>
      <c r="F139" s="3239">
        <v>0.13</v>
      </c>
      <c r="G139" s="3240">
        <v>0.13</v>
      </c>
    </row>
    <row r="140" spans="1:7">
      <c r="A140" s="3249" t="s">
        <v>29</v>
      </c>
      <c r="B140" s="3238" t="s">
        <v>226</v>
      </c>
      <c r="C140" s="3239">
        <v>0.1</v>
      </c>
      <c r="D140" s="3239">
        <v>0.1</v>
      </c>
      <c r="E140" s="3239">
        <v>0.1</v>
      </c>
      <c r="F140" s="3239">
        <v>0.123</v>
      </c>
      <c r="G140" s="3240">
        <v>0.107</v>
      </c>
    </row>
    <row r="141" spans="1:7">
      <c r="A141" s="3249" t="s">
        <v>29</v>
      </c>
      <c r="B141" s="3238" t="s">
        <v>234</v>
      </c>
      <c r="C141" s="3239">
        <v>0.127</v>
      </c>
      <c r="D141" s="3239">
        <v>0.127</v>
      </c>
      <c r="E141" s="3239">
        <v>0.122</v>
      </c>
      <c r="F141" s="3239">
        <v>0.1</v>
      </c>
      <c r="G141" s="3240">
        <v>0.129</v>
      </c>
    </row>
    <row r="142" spans="1:7">
      <c r="A142" s="3249" t="s">
        <v>29</v>
      </c>
      <c r="B142" s="3238" t="s">
        <v>239</v>
      </c>
      <c r="C142" s="3239">
        <v>0.121</v>
      </c>
      <c r="D142" s="3239">
        <v>0.122</v>
      </c>
      <c r="E142" s="3239">
        <v>0.1</v>
      </c>
      <c r="F142" s="3239">
        <v>0.123</v>
      </c>
      <c r="G142" s="3240">
        <v>0.123</v>
      </c>
    </row>
    <row r="143" spans="1:7">
      <c r="A143" s="3249" t="s">
        <v>29</v>
      </c>
      <c r="B143" s="3238" t="s">
        <v>248</v>
      </c>
      <c r="C143" s="3239">
        <v>0.1</v>
      </c>
      <c r="D143" s="3239">
        <v>0.1</v>
      </c>
      <c r="E143" s="3239">
        <v>0.1</v>
      </c>
      <c r="F143" s="3239">
        <v>0.13</v>
      </c>
      <c r="G143" s="3240">
        <v>0.1</v>
      </c>
    </row>
    <row r="144" spans="1:7">
      <c r="A144" s="3249" t="s">
        <v>29</v>
      </c>
      <c r="B144" s="3238" t="s">
        <v>255</v>
      </c>
      <c r="C144" s="3239">
        <v>0.106</v>
      </c>
      <c r="D144" s="3239">
        <v>0.105</v>
      </c>
      <c r="E144" s="3239">
        <v>0.1</v>
      </c>
      <c r="F144" s="3239">
        <v>0.13</v>
      </c>
      <c r="G144" s="3240">
        <v>0.11799999999999999</v>
      </c>
    </row>
    <row r="145" spans="1:7">
      <c r="A145" s="3249" t="s">
        <v>29</v>
      </c>
      <c r="B145" s="3238" t="s">
        <v>263</v>
      </c>
      <c r="C145" s="3239">
        <v>0.123</v>
      </c>
      <c r="D145" s="3239">
        <v>0.123</v>
      </c>
      <c r="E145" s="3239">
        <v>0.11700000000000001</v>
      </c>
      <c r="F145" s="3239">
        <v>0.13</v>
      </c>
      <c r="G145" s="3240">
        <v>0.126</v>
      </c>
    </row>
    <row r="146" spans="1:7">
      <c r="A146" s="3249" t="s">
        <v>29</v>
      </c>
      <c r="B146" s="3238" t="s">
        <v>270</v>
      </c>
      <c r="C146" s="3239">
        <v>0.127</v>
      </c>
      <c r="D146" s="3239">
        <v>0.127</v>
      </c>
      <c r="E146" s="3239">
        <v>0.12</v>
      </c>
      <c r="F146" s="3250"/>
      <c r="G146" s="3240">
        <v>0.129</v>
      </c>
    </row>
    <row r="147" spans="1:7">
      <c r="A147" s="3249" t="s">
        <v>29</v>
      </c>
      <c r="B147" s="3238" t="s">
        <v>274</v>
      </c>
      <c r="C147" s="3239">
        <v>0.13</v>
      </c>
      <c r="D147" s="3239">
        <v>0.13</v>
      </c>
      <c r="E147" s="3239">
        <v>0.126</v>
      </c>
      <c r="F147" s="3250"/>
      <c r="G147" s="3240">
        <v>0.13</v>
      </c>
    </row>
    <row r="148" spans="1:7">
      <c r="A148" s="3249" t="s">
        <v>29</v>
      </c>
      <c r="B148" s="3238" t="s">
        <v>2905</v>
      </c>
      <c r="C148" s="3239">
        <v>0.13</v>
      </c>
      <c r="D148" s="3239">
        <v>0.13</v>
      </c>
      <c r="E148" s="3239">
        <v>0.13</v>
      </c>
      <c r="F148" s="3250"/>
      <c r="G148" s="3240">
        <v>0.13</v>
      </c>
    </row>
    <row r="149" spans="1:7">
      <c r="A149" s="3249" t="s">
        <v>29</v>
      </c>
      <c r="B149" s="3238" t="s">
        <v>2909</v>
      </c>
      <c r="C149" s="3239">
        <v>0.13</v>
      </c>
      <c r="D149" s="3239">
        <v>0.13</v>
      </c>
      <c r="E149" s="3239">
        <v>0.13</v>
      </c>
      <c r="F149" s="3239">
        <v>0.13</v>
      </c>
      <c r="G149" s="3240">
        <v>0.13</v>
      </c>
    </row>
    <row r="150" spans="1:7">
      <c r="A150" s="3249" t="s">
        <v>29</v>
      </c>
      <c r="B150" s="3238" t="s">
        <v>292</v>
      </c>
      <c r="C150" s="3239">
        <v>0.13</v>
      </c>
      <c r="D150" s="3239">
        <v>0.13</v>
      </c>
      <c r="E150" s="3239">
        <v>0.127</v>
      </c>
      <c r="F150" s="3239">
        <v>0.13</v>
      </c>
      <c r="G150" s="3240">
        <v>0.13</v>
      </c>
    </row>
    <row r="151" spans="1:7">
      <c r="A151" s="3249" t="s">
        <v>29</v>
      </c>
      <c r="B151" s="3238" t="s">
        <v>294</v>
      </c>
      <c r="C151" s="3239">
        <v>0.13</v>
      </c>
      <c r="D151" s="3239">
        <v>0.13</v>
      </c>
      <c r="E151" s="3239">
        <v>0.13</v>
      </c>
      <c r="F151" s="3239">
        <v>0.13</v>
      </c>
      <c r="G151" s="3240">
        <v>0.13</v>
      </c>
    </row>
    <row r="152" spans="1:7">
      <c r="A152" s="3249" t="s">
        <v>29</v>
      </c>
      <c r="B152" s="3238" t="s">
        <v>297</v>
      </c>
      <c r="C152" s="3239">
        <v>0.13</v>
      </c>
      <c r="D152" s="3239">
        <v>0.13</v>
      </c>
      <c r="E152" s="3239">
        <v>0.13</v>
      </c>
      <c r="F152" s="3239">
        <v>0.13</v>
      </c>
      <c r="G152" s="3240">
        <v>0.13</v>
      </c>
    </row>
    <row r="153" spans="1:7">
      <c r="A153" s="3249" t="s">
        <v>29</v>
      </c>
      <c r="B153" s="3238" t="s">
        <v>2928</v>
      </c>
      <c r="C153" s="3239">
        <v>0.13</v>
      </c>
      <c r="D153" s="3239">
        <v>0.13</v>
      </c>
      <c r="E153" s="3239">
        <v>0.13</v>
      </c>
      <c r="F153" s="3239">
        <v>0.13</v>
      </c>
      <c r="G153" s="3240">
        <v>0.13</v>
      </c>
    </row>
    <row r="154" spans="1:7">
      <c r="A154" s="3249" t="s">
        <v>29</v>
      </c>
      <c r="B154" s="3238" t="s">
        <v>2935</v>
      </c>
      <c r="C154" s="3239">
        <v>0.121</v>
      </c>
      <c r="D154" s="3239">
        <v>0.121</v>
      </c>
      <c r="E154" s="3239">
        <v>0.105</v>
      </c>
      <c r="F154" s="3239">
        <v>0.121</v>
      </c>
      <c r="G154" s="3240">
        <v>0.123</v>
      </c>
    </row>
    <row r="155" spans="1:7">
      <c r="A155" s="3249" t="s">
        <v>29</v>
      </c>
      <c r="B155" s="3238" t="s">
        <v>2941</v>
      </c>
      <c r="C155" s="3239">
        <v>0.1</v>
      </c>
      <c r="D155" s="3239">
        <v>0.1</v>
      </c>
      <c r="E155" s="3239">
        <v>0.1</v>
      </c>
      <c r="F155" s="3239">
        <v>0.1</v>
      </c>
      <c r="G155" s="3240">
        <v>0.1</v>
      </c>
    </row>
    <row r="156" spans="1:7">
      <c r="A156" s="3249" t="s">
        <v>29</v>
      </c>
      <c r="B156" s="3238" t="s">
        <v>2948</v>
      </c>
      <c r="C156" s="3239">
        <v>0.13</v>
      </c>
      <c r="D156" s="3239">
        <v>0.13</v>
      </c>
      <c r="E156" s="3239">
        <v>0.13</v>
      </c>
      <c r="F156" s="3239">
        <v>0.13</v>
      </c>
      <c r="G156" s="3240">
        <v>0.13</v>
      </c>
    </row>
    <row r="157" spans="1:7">
      <c r="A157" s="3249" t="s">
        <v>29</v>
      </c>
      <c r="B157" s="3238" t="s">
        <v>300</v>
      </c>
      <c r="C157" s="3239">
        <v>0.13</v>
      </c>
      <c r="D157" s="3239">
        <v>0.13</v>
      </c>
      <c r="E157" s="3239">
        <v>0.125</v>
      </c>
      <c r="F157" s="3239">
        <v>0.13</v>
      </c>
      <c r="G157" s="3240">
        <v>0.13</v>
      </c>
    </row>
    <row r="158" spans="1:7">
      <c r="A158" s="3249" t="s">
        <v>29</v>
      </c>
      <c r="B158" s="3238" t="s">
        <v>301</v>
      </c>
      <c r="C158" s="3239">
        <v>0.124</v>
      </c>
      <c r="D158" s="3239">
        <v>0.124</v>
      </c>
      <c r="E158" s="3239">
        <v>0.11700000000000001</v>
      </c>
      <c r="F158" s="3239">
        <v>0.121</v>
      </c>
      <c r="G158" s="3240">
        <v>0.124</v>
      </c>
    </row>
    <row r="159" spans="1:7">
      <c r="A159" s="3249" t="s">
        <v>29</v>
      </c>
      <c r="B159" s="3238" t="s">
        <v>302</v>
      </c>
      <c r="C159" s="3239">
        <v>0.127</v>
      </c>
      <c r="D159" s="3239">
        <v>0.127</v>
      </c>
      <c r="E159" s="3239">
        <v>0.122</v>
      </c>
      <c r="F159" s="3239">
        <v>0.13</v>
      </c>
      <c r="G159" s="3240">
        <v>0.129</v>
      </c>
    </row>
    <row r="160" spans="1:7">
      <c r="A160" s="3249" t="s">
        <v>29</v>
      </c>
      <c r="B160" s="3238" t="s">
        <v>2968</v>
      </c>
      <c r="C160" s="3239">
        <v>0.13</v>
      </c>
      <c r="D160" s="3239">
        <v>0.13</v>
      </c>
      <c r="E160" s="3239">
        <v>0.124</v>
      </c>
      <c r="F160" s="3239">
        <v>0.126</v>
      </c>
      <c r="G160" s="3240">
        <v>0.13</v>
      </c>
    </row>
    <row r="161" spans="1:7">
      <c r="A161" s="3249" t="s">
        <v>29</v>
      </c>
      <c r="B161" s="3238" t="s">
        <v>2973</v>
      </c>
      <c r="C161" s="3239">
        <v>0.13</v>
      </c>
      <c r="D161" s="3239">
        <v>0.13</v>
      </c>
      <c r="E161" s="3239">
        <v>0.124</v>
      </c>
      <c r="F161" s="3239">
        <v>0.127</v>
      </c>
      <c r="G161" s="3240">
        <v>0.13</v>
      </c>
    </row>
    <row r="162" spans="1:7">
      <c r="A162" s="3249" t="s">
        <v>29</v>
      </c>
      <c r="B162" s="3238" t="s">
        <v>2978</v>
      </c>
      <c r="C162" s="3239">
        <v>0.1</v>
      </c>
      <c r="D162" s="3239">
        <v>0.1</v>
      </c>
      <c r="E162" s="3239">
        <v>0.1</v>
      </c>
      <c r="F162" s="3239">
        <v>0.121</v>
      </c>
      <c r="G162" s="3240">
        <v>0.105</v>
      </c>
    </row>
    <row r="163" spans="1:7">
      <c r="A163" s="3249" t="s">
        <v>29</v>
      </c>
      <c r="B163" s="3238" t="s">
        <v>2983</v>
      </c>
      <c r="C163" s="3239">
        <v>0.1</v>
      </c>
      <c r="D163" s="3239">
        <v>0.1</v>
      </c>
      <c r="E163" s="3239">
        <v>0.1</v>
      </c>
      <c r="F163" s="3239">
        <v>0.1</v>
      </c>
      <c r="G163" s="3240">
        <v>0.1</v>
      </c>
    </row>
    <row r="164" spans="1:7">
      <c r="A164" s="3249" t="s">
        <v>29</v>
      </c>
      <c r="B164" s="3238" t="s">
        <v>2988</v>
      </c>
      <c r="C164" s="3255"/>
      <c r="D164" s="3255"/>
      <c r="E164" s="3255"/>
      <c r="F164" s="3239">
        <v>0.1</v>
      </c>
      <c r="G164" s="3251"/>
    </row>
    <row r="165" spans="1:7">
      <c r="A165" s="3249" t="s">
        <v>29</v>
      </c>
      <c r="B165" s="3238" t="s">
        <v>3159</v>
      </c>
      <c r="C165" s="3239">
        <v>0.126</v>
      </c>
      <c r="D165" s="3239">
        <v>0.126</v>
      </c>
      <c r="E165" s="3239">
        <v>0.11899999999999999</v>
      </c>
      <c r="F165" s="3239">
        <v>0.13</v>
      </c>
      <c r="G165" s="3240">
        <v>0.128</v>
      </c>
    </row>
    <row r="166" spans="1:7">
      <c r="A166" s="3249" t="s">
        <v>29</v>
      </c>
      <c r="B166" s="3238" t="s">
        <v>2998</v>
      </c>
      <c r="C166" s="3239">
        <v>0.129</v>
      </c>
      <c r="D166" s="3239">
        <v>0.129</v>
      </c>
      <c r="E166" s="3239">
        <v>0.123</v>
      </c>
      <c r="F166" s="3239">
        <v>0.128</v>
      </c>
      <c r="G166" s="3240">
        <v>0.13</v>
      </c>
    </row>
    <row r="167" spans="1:7">
      <c r="A167" s="3249" t="s">
        <v>29</v>
      </c>
      <c r="B167" s="3238" t="s">
        <v>3002</v>
      </c>
      <c r="C167" s="3239">
        <v>0.125</v>
      </c>
      <c r="D167" s="3239">
        <v>0.125</v>
      </c>
      <c r="E167" s="3239">
        <v>0.11700000000000001</v>
      </c>
      <c r="F167" s="3239">
        <v>0.13</v>
      </c>
      <c r="G167" s="3240">
        <v>0.126</v>
      </c>
    </row>
    <row r="168" spans="1:7">
      <c r="A168" s="3249" t="s">
        <v>29</v>
      </c>
      <c r="B168" s="3238" t="s">
        <v>3007</v>
      </c>
      <c r="C168" s="3239">
        <v>0.128</v>
      </c>
      <c r="D168" s="3239">
        <v>0.128</v>
      </c>
      <c r="E168" s="3239">
        <v>0.123</v>
      </c>
      <c r="F168" s="3250"/>
      <c r="G168" s="3240">
        <v>0.13</v>
      </c>
    </row>
    <row r="169" spans="1:7">
      <c r="A169" s="3249" t="s">
        <v>29</v>
      </c>
      <c r="B169" s="3238" t="s">
        <v>3160</v>
      </c>
      <c r="C169" s="3255"/>
      <c r="D169" s="3255"/>
      <c r="E169" s="3255"/>
      <c r="F169" s="3239">
        <v>0.05</v>
      </c>
      <c r="G169" s="3251"/>
    </row>
    <row r="170" spans="1:7">
      <c r="A170" s="3249" t="s">
        <v>29</v>
      </c>
      <c r="B170" s="3238" t="s">
        <v>3161</v>
      </c>
      <c r="C170" s="3255"/>
      <c r="D170" s="3255"/>
      <c r="E170" s="3255"/>
      <c r="F170" s="3239">
        <v>0.05</v>
      </c>
      <c r="G170" s="3251"/>
    </row>
    <row r="171" spans="1:7">
      <c r="A171" s="3249" t="s">
        <v>29</v>
      </c>
      <c r="B171" s="3238" t="s">
        <v>3162</v>
      </c>
      <c r="C171" s="3255"/>
      <c r="D171" s="3255"/>
      <c r="E171" s="3255"/>
      <c r="F171" s="3239">
        <v>0.05</v>
      </c>
      <c r="G171" s="3256"/>
    </row>
    <row r="172" spans="1:7">
      <c r="A172" s="3249" t="s">
        <v>29</v>
      </c>
      <c r="B172" s="3238" t="s">
        <v>3163</v>
      </c>
      <c r="C172" s="3255"/>
      <c r="D172" s="3255"/>
      <c r="E172" s="3255"/>
      <c r="F172" s="3239">
        <v>0.05</v>
      </c>
      <c r="G172" s="3256"/>
    </row>
    <row r="173" spans="1:7">
      <c r="A173" s="3249" t="s">
        <v>29</v>
      </c>
      <c r="B173" s="3238" t="s">
        <v>3164</v>
      </c>
      <c r="C173" s="3255"/>
      <c r="D173" s="3255"/>
      <c r="E173" s="3255"/>
      <c r="F173" s="3239">
        <v>0.05</v>
      </c>
      <c r="G173" s="3251"/>
    </row>
    <row r="174" spans="1:7">
      <c r="A174" s="3249" t="s">
        <v>29</v>
      </c>
      <c r="B174" s="3238" t="s">
        <v>3165</v>
      </c>
      <c r="C174" s="3255"/>
      <c r="D174" s="3255"/>
      <c r="E174" s="3255"/>
      <c r="F174" s="3239">
        <v>0.05</v>
      </c>
      <c r="G174" s="3251"/>
    </row>
    <row r="175" spans="1:7">
      <c r="A175" s="3249" t="s">
        <v>29</v>
      </c>
      <c r="B175" s="3238" t="s">
        <v>3166</v>
      </c>
      <c r="C175" s="3255"/>
      <c r="D175" s="3255"/>
      <c r="E175" s="3255"/>
      <c r="F175" s="3239">
        <v>0.05</v>
      </c>
      <c r="G175" s="3251"/>
    </row>
    <row r="176" spans="1:7">
      <c r="A176" s="3249" t="s">
        <v>29</v>
      </c>
      <c r="B176" s="3238" t="s">
        <v>3167</v>
      </c>
      <c r="C176" s="3255"/>
      <c r="D176" s="3255"/>
      <c r="E176" s="3255"/>
      <c r="F176" s="3239">
        <v>0.05</v>
      </c>
      <c r="G176" s="3251"/>
    </row>
    <row r="177" spans="1:7">
      <c r="A177" s="3249" t="s">
        <v>29</v>
      </c>
      <c r="B177" s="3238" t="s">
        <v>3168</v>
      </c>
      <c r="C177" s="3250"/>
      <c r="D177" s="3250"/>
      <c r="E177" s="3250"/>
      <c r="F177" s="3239">
        <v>0.05</v>
      </c>
      <c r="G177" s="3256"/>
    </row>
    <row r="178" spans="1:7">
      <c r="A178" s="3249" t="s">
        <v>29</v>
      </c>
      <c r="B178" s="3238" t="s">
        <v>3169</v>
      </c>
      <c r="C178" s="3250"/>
      <c r="D178" s="3250"/>
      <c r="E178" s="3250"/>
      <c r="F178" s="3239">
        <v>0.05</v>
      </c>
      <c r="G178" s="3256"/>
    </row>
    <row r="179" spans="1:7">
      <c r="A179" s="3249" t="s">
        <v>29</v>
      </c>
      <c r="B179" s="3238" t="s">
        <v>3170</v>
      </c>
      <c r="C179" s="3250"/>
      <c r="D179" s="3250"/>
      <c r="E179" s="3250"/>
      <c r="F179" s="3239">
        <v>0.05</v>
      </c>
      <c r="G179" s="3256"/>
    </row>
    <row r="180" spans="1:7">
      <c r="A180" s="3249" t="s">
        <v>29</v>
      </c>
      <c r="B180" s="3238" t="s">
        <v>3171</v>
      </c>
      <c r="C180" s="3250"/>
      <c r="D180" s="3250"/>
      <c r="E180" s="3250"/>
      <c r="F180" s="3239">
        <v>0.05</v>
      </c>
      <c r="G180" s="3256"/>
    </row>
    <row r="181" spans="1:7">
      <c r="A181" s="3249" t="s">
        <v>29</v>
      </c>
      <c r="B181" s="3238" t="s">
        <v>3172</v>
      </c>
      <c r="C181" s="3250"/>
      <c r="D181" s="3250"/>
      <c r="E181" s="3250"/>
      <c r="F181" s="3239">
        <v>0.05</v>
      </c>
      <c r="G181" s="3256"/>
    </row>
    <row r="182" spans="1:7">
      <c r="A182" s="3249" t="s">
        <v>29</v>
      </c>
      <c r="B182" s="3238" t="s">
        <v>3173</v>
      </c>
      <c r="C182" s="3250"/>
      <c r="D182" s="3250"/>
      <c r="E182" s="3250"/>
      <c r="F182" s="3239">
        <v>0.05</v>
      </c>
      <c r="G182" s="3256"/>
    </row>
    <row r="183" spans="1:7">
      <c r="A183" s="3249" t="s">
        <v>29</v>
      </c>
      <c r="B183" s="3238" t="s">
        <v>3174</v>
      </c>
      <c r="C183" s="3250"/>
      <c r="D183" s="3250"/>
      <c r="E183" s="3250"/>
      <c r="F183" s="3239">
        <v>0.05</v>
      </c>
      <c r="G183" s="3256"/>
    </row>
    <row r="184" spans="1:7">
      <c r="A184" s="3249" t="s">
        <v>29</v>
      </c>
      <c r="B184" s="3238" t="s">
        <v>3175</v>
      </c>
      <c r="C184" s="3250"/>
      <c r="D184" s="3250"/>
      <c r="E184" s="3250"/>
      <c r="F184" s="3239">
        <v>0.05</v>
      </c>
      <c r="G184" s="3256"/>
    </row>
    <row r="185" spans="1:7">
      <c r="A185" s="3249" t="s">
        <v>29</v>
      </c>
      <c r="B185" s="3238" t="s">
        <v>3176</v>
      </c>
      <c r="C185" s="3250"/>
      <c r="D185" s="3250"/>
      <c r="E185" s="3250"/>
      <c r="F185" s="3239">
        <v>0.05</v>
      </c>
      <c r="G185" s="3256"/>
    </row>
    <row r="186" spans="1:7">
      <c r="A186" s="3249" t="s">
        <v>29</v>
      </c>
      <c r="B186" s="3238" t="s">
        <v>3177</v>
      </c>
      <c r="C186" s="3250"/>
      <c r="D186" s="3250"/>
      <c r="E186" s="3250"/>
      <c r="F186" s="3239">
        <v>0.05</v>
      </c>
      <c r="G186" s="3256"/>
    </row>
    <row r="187" spans="1:7">
      <c r="A187" s="3249" t="s">
        <v>29</v>
      </c>
      <c r="B187" s="3238" t="s">
        <v>3178</v>
      </c>
      <c r="C187" s="3250"/>
      <c r="D187" s="3250"/>
      <c r="E187" s="3250"/>
      <c r="F187" s="3239">
        <v>0.05</v>
      </c>
      <c r="G187" s="3256"/>
    </row>
    <row r="188" spans="1:7">
      <c r="A188" s="3249" t="s">
        <v>29</v>
      </c>
      <c r="B188" s="3238" t="s">
        <v>3179</v>
      </c>
      <c r="C188" s="3250"/>
      <c r="D188" s="3250"/>
      <c r="E188" s="3250"/>
      <c r="F188" s="3239">
        <v>0.05</v>
      </c>
      <c r="G188" s="3256"/>
    </row>
    <row r="189" spans="1:7" ht="14.25" thickBot="1">
      <c r="A189" s="3252" t="s">
        <v>29</v>
      </c>
      <c r="B189" s="3242" t="s">
        <v>3180</v>
      </c>
      <c r="C189" s="3244"/>
      <c r="D189" s="3244"/>
      <c r="E189" s="3244"/>
      <c r="F189" s="3243">
        <v>0.05</v>
      </c>
      <c r="G189" s="3257"/>
    </row>
    <row r="190" spans="1:7">
      <c r="A190" s="3248" t="s">
        <v>304</v>
      </c>
      <c r="B190" s="3234" t="s">
        <v>2836</v>
      </c>
      <c r="C190" s="3235">
        <v>0.124</v>
      </c>
      <c r="D190" s="3235">
        <v>0.124</v>
      </c>
      <c r="E190" s="3235">
        <v>0.129</v>
      </c>
      <c r="F190" s="3235">
        <v>0.13</v>
      </c>
      <c r="G190" s="3236">
        <v>0.127</v>
      </c>
    </row>
    <row r="191" spans="1:7">
      <c r="A191" s="3249" t="s">
        <v>304</v>
      </c>
      <c r="B191" s="3238" t="s">
        <v>133</v>
      </c>
      <c r="C191" s="3239">
        <v>0.13</v>
      </c>
      <c r="D191" s="3239">
        <v>0.13</v>
      </c>
      <c r="E191" s="3239">
        <v>0.13</v>
      </c>
      <c r="F191" s="3239">
        <v>0.13</v>
      </c>
      <c r="G191" s="3240">
        <v>0.13</v>
      </c>
    </row>
    <row r="192" spans="1:7">
      <c r="A192" s="3249" t="s">
        <v>304</v>
      </c>
      <c r="B192" s="3238" t="s">
        <v>142</v>
      </c>
      <c r="C192" s="3239">
        <v>0.13</v>
      </c>
      <c r="D192" s="3239">
        <v>0.13</v>
      </c>
      <c r="E192" s="3239">
        <v>0.13</v>
      </c>
      <c r="F192" s="3239">
        <v>0.13</v>
      </c>
      <c r="G192" s="3240">
        <v>0.13</v>
      </c>
    </row>
    <row r="193" spans="1:7">
      <c r="A193" s="3249" t="s">
        <v>304</v>
      </c>
      <c r="B193" s="3238" t="s">
        <v>151</v>
      </c>
      <c r="C193" s="3239">
        <v>0.13</v>
      </c>
      <c r="D193" s="3239">
        <v>0.13</v>
      </c>
      <c r="E193" s="3239">
        <v>0.13</v>
      </c>
      <c r="F193" s="3239">
        <v>0.13</v>
      </c>
      <c r="G193" s="3240">
        <v>0.13</v>
      </c>
    </row>
    <row r="194" spans="1:7">
      <c r="A194" s="3249" t="s">
        <v>304</v>
      </c>
      <c r="B194" s="3238" t="s">
        <v>160</v>
      </c>
      <c r="C194" s="3239">
        <v>0.123</v>
      </c>
      <c r="D194" s="3239">
        <v>0.123</v>
      </c>
      <c r="E194" s="3239">
        <v>0.128</v>
      </c>
      <c r="F194" s="3239">
        <v>0.13</v>
      </c>
      <c r="G194" s="3240">
        <v>0.126</v>
      </c>
    </row>
    <row r="195" spans="1:7">
      <c r="A195" s="3249" t="s">
        <v>304</v>
      </c>
      <c r="B195" s="3238" t="s">
        <v>167</v>
      </c>
      <c r="C195" s="3239">
        <v>0.127</v>
      </c>
      <c r="D195" s="3239">
        <v>0.127</v>
      </c>
      <c r="E195" s="3239">
        <v>0.121</v>
      </c>
      <c r="F195" s="3239">
        <v>0.129</v>
      </c>
      <c r="G195" s="3240">
        <v>0.129</v>
      </c>
    </row>
    <row r="196" spans="1:7">
      <c r="A196" s="3249" t="s">
        <v>304</v>
      </c>
      <c r="B196" s="3238" t="s">
        <v>173</v>
      </c>
      <c r="C196" s="3239">
        <v>0.127</v>
      </c>
      <c r="D196" s="3239">
        <v>0.128</v>
      </c>
      <c r="E196" s="3239">
        <v>0.122</v>
      </c>
      <c r="F196" s="3239">
        <v>0.13</v>
      </c>
      <c r="G196" s="3240">
        <v>0.129</v>
      </c>
    </row>
    <row r="197" spans="1:7">
      <c r="A197" s="3249" t="s">
        <v>304</v>
      </c>
      <c r="B197" s="3238" t="s">
        <v>180</v>
      </c>
      <c r="C197" s="3239">
        <v>0.126</v>
      </c>
      <c r="D197" s="3239">
        <v>0.126</v>
      </c>
      <c r="E197" s="3239">
        <v>0.11899999999999999</v>
      </c>
      <c r="F197" s="3239">
        <v>0.13</v>
      </c>
      <c r="G197" s="3240">
        <v>0.128</v>
      </c>
    </row>
    <row r="198" spans="1:7">
      <c r="A198" s="3249" t="s">
        <v>304</v>
      </c>
      <c r="B198" s="3238" t="s">
        <v>190</v>
      </c>
      <c r="C198" s="3239">
        <v>0.13</v>
      </c>
      <c r="D198" s="3239">
        <v>0.13</v>
      </c>
      <c r="E198" s="3239">
        <v>0.126</v>
      </c>
      <c r="F198" s="3255"/>
      <c r="G198" s="3240">
        <v>0.13</v>
      </c>
    </row>
    <row r="199" spans="1:7">
      <c r="A199" s="3249" t="s">
        <v>304</v>
      </c>
      <c r="B199" s="3238" t="s">
        <v>2872</v>
      </c>
      <c r="C199" s="3239">
        <v>0.13</v>
      </c>
      <c r="D199" s="3239">
        <v>0.13</v>
      </c>
      <c r="E199" s="3239">
        <v>0.13</v>
      </c>
      <c r="F199" s="3239">
        <v>0.13</v>
      </c>
      <c r="G199" s="3240">
        <v>0.13</v>
      </c>
    </row>
    <row r="200" spans="1:7">
      <c r="A200" s="3249" t="s">
        <v>304</v>
      </c>
      <c r="B200" s="3238" t="s">
        <v>2875</v>
      </c>
      <c r="C200" s="3255"/>
      <c r="D200" s="3255"/>
      <c r="E200" s="3255"/>
      <c r="F200" s="3239">
        <v>0.13</v>
      </c>
      <c r="G200" s="3251"/>
    </row>
    <row r="201" spans="1:7">
      <c r="A201" s="3249" t="s">
        <v>304</v>
      </c>
      <c r="B201" s="3238" t="s">
        <v>2880</v>
      </c>
      <c r="C201" s="3239">
        <v>0.13</v>
      </c>
      <c r="D201" s="3239">
        <v>0.13</v>
      </c>
      <c r="E201" s="3239">
        <v>0.13</v>
      </c>
      <c r="F201" s="3239">
        <v>0.129</v>
      </c>
      <c r="G201" s="3240">
        <v>0.13</v>
      </c>
    </row>
    <row r="202" spans="1:7">
      <c r="A202" s="3249" t="s">
        <v>304</v>
      </c>
      <c r="B202" s="3238" t="s">
        <v>240</v>
      </c>
      <c r="C202" s="3239">
        <v>0.13</v>
      </c>
      <c r="D202" s="3239">
        <v>0.13</v>
      </c>
      <c r="E202" s="3239">
        <v>0.13</v>
      </c>
      <c r="F202" s="3239">
        <v>0.13</v>
      </c>
      <c r="G202" s="3240">
        <v>0.13</v>
      </c>
    </row>
    <row r="203" spans="1:7">
      <c r="A203" s="3249" t="s">
        <v>304</v>
      </c>
      <c r="B203" s="3238" t="s">
        <v>2883</v>
      </c>
      <c r="C203" s="3239">
        <v>0.129</v>
      </c>
      <c r="D203" s="3239">
        <v>0.129</v>
      </c>
      <c r="E203" s="3239">
        <v>0.13</v>
      </c>
      <c r="F203" s="3239">
        <v>0.13</v>
      </c>
      <c r="G203" s="3240">
        <v>0.13</v>
      </c>
    </row>
    <row r="204" spans="1:7">
      <c r="A204" s="3249" t="s">
        <v>304</v>
      </c>
      <c r="B204" s="3238" t="s">
        <v>2886</v>
      </c>
      <c r="C204" s="3239">
        <v>0.129</v>
      </c>
      <c r="D204" s="3239">
        <v>0.129</v>
      </c>
      <c r="E204" s="3239">
        <v>0.123</v>
      </c>
      <c r="F204" s="3239">
        <v>0.13</v>
      </c>
      <c r="G204" s="3240">
        <v>0.13</v>
      </c>
    </row>
    <row r="205" spans="1:7">
      <c r="A205" s="3249" t="s">
        <v>304</v>
      </c>
      <c r="B205" s="3238" t="s">
        <v>2888</v>
      </c>
      <c r="C205" s="3239">
        <v>0.13</v>
      </c>
      <c r="D205" s="3239">
        <v>0.13</v>
      </c>
      <c r="E205" s="3239">
        <v>0.13</v>
      </c>
      <c r="F205" s="3239">
        <v>0.13</v>
      </c>
      <c r="G205" s="3240">
        <v>0.13</v>
      </c>
    </row>
    <row r="206" spans="1:7">
      <c r="A206" s="3249" t="s">
        <v>304</v>
      </c>
      <c r="B206" s="3238" t="s">
        <v>2891</v>
      </c>
      <c r="C206" s="3239">
        <v>0.13</v>
      </c>
      <c r="D206" s="3239">
        <v>0.13</v>
      </c>
      <c r="E206" s="3239">
        <v>0.13</v>
      </c>
      <c r="F206" s="3239">
        <v>0.128</v>
      </c>
      <c r="G206" s="3240">
        <v>0.13</v>
      </c>
    </row>
    <row r="207" spans="1:7">
      <c r="A207" s="3249" t="s">
        <v>304</v>
      </c>
      <c r="B207" s="3238" t="s">
        <v>2893</v>
      </c>
      <c r="C207" s="3239">
        <v>0.13</v>
      </c>
      <c r="D207" s="3239">
        <v>0.13</v>
      </c>
      <c r="E207" s="3239">
        <v>0.13</v>
      </c>
      <c r="F207" s="3239">
        <v>0.13</v>
      </c>
      <c r="G207" s="3240">
        <v>0.13</v>
      </c>
    </row>
    <row r="208" spans="1:7">
      <c r="A208" s="3249" t="s">
        <v>304</v>
      </c>
      <c r="B208" s="3238" t="s">
        <v>2896</v>
      </c>
      <c r="C208" s="3239">
        <v>0.13</v>
      </c>
      <c r="D208" s="3239">
        <v>0.13</v>
      </c>
      <c r="E208" s="3239">
        <v>0.13</v>
      </c>
      <c r="F208" s="3239">
        <v>0.13</v>
      </c>
      <c r="G208" s="3240">
        <v>0.13</v>
      </c>
    </row>
    <row r="209" spans="1:7">
      <c r="A209" s="3249" t="s">
        <v>304</v>
      </c>
      <c r="B209" s="3238" t="s">
        <v>264</v>
      </c>
      <c r="C209" s="3239">
        <v>0.13</v>
      </c>
      <c r="D209" s="3239">
        <v>0.13</v>
      </c>
      <c r="E209" s="3239">
        <v>0.13</v>
      </c>
      <c r="F209" s="3239">
        <v>0.13</v>
      </c>
      <c r="G209" s="3240">
        <v>0.13</v>
      </c>
    </row>
    <row r="210" spans="1:7">
      <c r="A210" s="3249" t="s">
        <v>304</v>
      </c>
      <c r="B210" s="3238" t="s">
        <v>2903</v>
      </c>
      <c r="C210" s="3239">
        <v>0.121</v>
      </c>
      <c r="D210" s="3239">
        <v>0.121</v>
      </c>
      <c r="E210" s="3239">
        <v>0.125</v>
      </c>
      <c r="F210" s="3239">
        <v>0.13</v>
      </c>
      <c r="G210" s="3240">
        <v>0.123</v>
      </c>
    </row>
    <row r="211" spans="1:7">
      <c r="A211" s="3249" t="s">
        <v>304</v>
      </c>
      <c r="B211" s="3238" t="s">
        <v>2906</v>
      </c>
      <c r="C211" s="3239">
        <v>0.123</v>
      </c>
      <c r="D211" s="3239">
        <v>0.123</v>
      </c>
      <c r="E211" s="3239">
        <v>0.127</v>
      </c>
      <c r="F211" s="3239">
        <v>0.115</v>
      </c>
      <c r="G211" s="3240">
        <v>0.126</v>
      </c>
    </row>
    <row r="212" spans="1:7">
      <c r="A212" s="3249" t="s">
        <v>304</v>
      </c>
      <c r="B212" s="3238" t="s">
        <v>285</v>
      </c>
      <c r="C212" s="3239">
        <v>0.126</v>
      </c>
      <c r="D212" s="3239">
        <v>0.126</v>
      </c>
      <c r="E212" s="3239">
        <v>0.13</v>
      </c>
      <c r="F212" s="3239">
        <v>0.13</v>
      </c>
      <c r="G212" s="3240">
        <v>0.129</v>
      </c>
    </row>
    <row r="213" spans="1:7">
      <c r="A213" s="3249" t="s">
        <v>304</v>
      </c>
      <c r="B213" s="3238" t="s">
        <v>288</v>
      </c>
      <c r="C213" s="3239">
        <v>0.129</v>
      </c>
      <c r="D213" s="3239">
        <v>0.13</v>
      </c>
      <c r="E213" s="3239">
        <v>0.127</v>
      </c>
      <c r="F213" s="3239">
        <v>0.13</v>
      </c>
      <c r="G213" s="3240">
        <v>0.13</v>
      </c>
    </row>
    <row r="214" spans="1:7">
      <c r="A214" s="3249" t="s">
        <v>304</v>
      </c>
      <c r="B214" s="3238" t="s">
        <v>2918</v>
      </c>
      <c r="C214" s="3239">
        <v>0.128</v>
      </c>
      <c r="D214" s="3239">
        <v>0.128</v>
      </c>
      <c r="E214" s="3239">
        <v>0.13</v>
      </c>
      <c r="F214" s="3239">
        <v>0.13</v>
      </c>
      <c r="G214" s="3240">
        <v>0.13</v>
      </c>
    </row>
    <row r="215" spans="1:7">
      <c r="A215" s="3249" t="s">
        <v>304</v>
      </c>
      <c r="B215" s="3238" t="s">
        <v>2922</v>
      </c>
      <c r="C215" s="3239">
        <v>0.13</v>
      </c>
      <c r="D215" s="3239">
        <v>0.13</v>
      </c>
      <c r="E215" s="3239">
        <v>0.13</v>
      </c>
      <c r="F215" s="3239">
        <v>0.129</v>
      </c>
      <c r="G215" s="3240">
        <v>0.13</v>
      </c>
    </row>
    <row r="216" spans="1:7">
      <c r="A216" s="3249" t="s">
        <v>304</v>
      </c>
      <c r="B216" s="3238" t="s">
        <v>2929</v>
      </c>
      <c r="C216" s="3239">
        <v>0.13</v>
      </c>
      <c r="D216" s="3239">
        <v>0.13</v>
      </c>
      <c r="E216" s="3239">
        <v>0.13</v>
      </c>
      <c r="F216" s="3239">
        <v>0.13</v>
      </c>
      <c r="G216" s="3240">
        <v>0.13</v>
      </c>
    </row>
    <row r="217" spans="1:7">
      <c r="A217" s="3249" t="s">
        <v>304</v>
      </c>
      <c r="B217" s="3238" t="s">
        <v>2936</v>
      </c>
      <c r="C217" s="3239">
        <v>0.129</v>
      </c>
      <c r="D217" s="3239">
        <v>0.129</v>
      </c>
      <c r="E217" s="3239">
        <v>0.13</v>
      </c>
      <c r="F217" s="3239">
        <v>0.13</v>
      </c>
      <c r="G217" s="3240">
        <v>0.13</v>
      </c>
    </row>
    <row r="218" spans="1:7">
      <c r="A218" s="3249" t="s">
        <v>304</v>
      </c>
      <c r="B218" s="3238" t="s">
        <v>2942</v>
      </c>
      <c r="C218" s="3250"/>
      <c r="D218" s="3250"/>
      <c r="E218" s="3250"/>
      <c r="F218" s="3239">
        <v>0.05</v>
      </c>
      <c r="G218" s="3256"/>
    </row>
    <row r="219" spans="1:7">
      <c r="A219" s="3249" t="s">
        <v>304</v>
      </c>
      <c r="B219" s="3238" t="s">
        <v>2949</v>
      </c>
      <c r="C219" s="3250"/>
      <c r="D219" s="3250"/>
      <c r="E219" s="3250"/>
      <c r="F219" s="3239">
        <v>0.05</v>
      </c>
      <c r="G219" s="3256"/>
    </row>
    <row r="220" spans="1:7">
      <c r="A220" s="3249" t="s">
        <v>304</v>
      </c>
      <c r="B220" s="3238" t="s">
        <v>2955</v>
      </c>
      <c r="C220" s="3250"/>
      <c r="D220" s="3250"/>
      <c r="E220" s="3250"/>
      <c r="F220" s="3239">
        <v>0.05</v>
      </c>
      <c r="G220" s="3256"/>
    </row>
    <row r="221" spans="1:7">
      <c r="A221" s="3249" t="s">
        <v>304</v>
      </c>
      <c r="B221" s="3238" t="s">
        <v>2960</v>
      </c>
      <c r="C221" s="3250"/>
      <c r="D221" s="3250"/>
      <c r="E221" s="3250"/>
      <c r="F221" s="3239">
        <v>0.05</v>
      </c>
      <c r="G221" s="3256"/>
    </row>
    <row r="222" spans="1:7">
      <c r="A222" s="3249" t="s">
        <v>304</v>
      </c>
      <c r="B222" s="3238" t="s">
        <v>2964</v>
      </c>
      <c r="C222" s="3250"/>
      <c r="D222" s="3250"/>
      <c r="E222" s="3250"/>
      <c r="F222" s="3239">
        <v>0.05</v>
      </c>
      <c r="G222" s="3256"/>
    </row>
    <row r="223" spans="1:7">
      <c r="A223" s="3249" t="s">
        <v>304</v>
      </c>
      <c r="B223" s="3238" t="s">
        <v>2969</v>
      </c>
      <c r="C223" s="3250"/>
      <c r="D223" s="3250"/>
      <c r="E223" s="3250"/>
      <c r="F223" s="3239">
        <v>0.05</v>
      </c>
      <c r="G223" s="3256"/>
    </row>
    <row r="224" spans="1:7">
      <c r="A224" s="3249" t="s">
        <v>304</v>
      </c>
      <c r="B224" s="3238" t="s">
        <v>2974</v>
      </c>
      <c r="C224" s="3250"/>
      <c r="D224" s="3250"/>
      <c r="E224" s="3250"/>
      <c r="F224" s="3239">
        <v>0.05</v>
      </c>
      <c r="G224" s="3256"/>
    </row>
    <row r="225" spans="1:7">
      <c r="A225" s="3249" t="s">
        <v>304</v>
      </c>
      <c r="B225" s="3238" t="s">
        <v>2979</v>
      </c>
      <c r="C225" s="3250"/>
      <c r="D225" s="3250"/>
      <c r="E225" s="3250"/>
      <c r="F225" s="3239">
        <v>0.05</v>
      </c>
      <c r="G225" s="3256"/>
    </row>
    <row r="226" spans="1:7">
      <c r="A226" s="3249" t="s">
        <v>304</v>
      </c>
      <c r="B226" s="3238" t="s">
        <v>3181</v>
      </c>
      <c r="C226" s="3250"/>
      <c r="D226" s="3250"/>
      <c r="E226" s="3250"/>
      <c r="F226" s="3239">
        <v>0.05</v>
      </c>
      <c r="G226" s="3256"/>
    </row>
    <row r="227" spans="1:7">
      <c r="A227" s="3249" t="s">
        <v>304</v>
      </c>
      <c r="B227" s="3238" t="s">
        <v>3182</v>
      </c>
      <c r="C227" s="3250"/>
      <c r="D227" s="3250"/>
      <c r="E227" s="3250"/>
      <c r="F227" s="3239">
        <v>0.05</v>
      </c>
      <c r="G227" s="3256"/>
    </row>
    <row r="228" spans="1:7">
      <c r="A228" s="3249" t="s">
        <v>304</v>
      </c>
      <c r="B228" s="3238" t="s">
        <v>3183</v>
      </c>
      <c r="C228" s="3250"/>
      <c r="D228" s="3250"/>
      <c r="E228" s="3250"/>
      <c r="F228" s="3239">
        <v>0.05</v>
      </c>
      <c r="G228" s="3256"/>
    </row>
    <row r="229" spans="1:7">
      <c r="A229" s="3249" t="s">
        <v>304</v>
      </c>
      <c r="B229" s="3238" t="s">
        <v>3184</v>
      </c>
      <c r="C229" s="3250"/>
      <c r="D229" s="3250"/>
      <c r="E229" s="3250"/>
      <c r="F229" s="3239">
        <v>0.05</v>
      </c>
      <c r="G229" s="3256"/>
    </row>
    <row r="230" spans="1:7">
      <c r="A230" s="3249" t="s">
        <v>304</v>
      </c>
      <c r="B230" s="3238" t="s">
        <v>3185</v>
      </c>
      <c r="C230" s="3250"/>
      <c r="D230" s="3250"/>
      <c r="E230" s="3250"/>
      <c r="F230" s="3239">
        <v>0.05</v>
      </c>
      <c r="G230" s="3256"/>
    </row>
    <row r="231" spans="1:7">
      <c r="A231" s="3249" t="s">
        <v>304</v>
      </c>
      <c r="B231" s="3238" t="s">
        <v>3186</v>
      </c>
      <c r="C231" s="3250"/>
      <c r="D231" s="3250"/>
      <c r="E231" s="3250"/>
      <c r="F231" s="3239">
        <v>0.05</v>
      </c>
      <c r="G231" s="3256"/>
    </row>
    <row r="232" spans="1:7">
      <c r="A232" s="3249" t="s">
        <v>304</v>
      </c>
      <c r="B232" s="3238" t="s">
        <v>3187</v>
      </c>
      <c r="C232" s="3250"/>
      <c r="D232" s="3250"/>
      <c r="E232" s="3250"/>
      <c r="F232" s="3239">
        <v>0.05</v>
      </c>
      <c r="G232" s="3256"/>
    </row>
    <row r="233" spans="1:7" ht="14.25" thickBot="1">
      <c r="A233" s="3252" t="s">
        <v>304</v>
      </c>
      <c r="B233" s="3242" t="s">
        <v>3188</v>
      </c>
      <c r="C233" s="3244"/>
      <c r="D233" s="3244"/>
      <c r="E233" s="3244"/>
      <c r="F233" s="3243">
        <v>0.05</v>
      </c>
      <c r="G233" s="3257"/>
    </row>
    <row r="234" spans="1:7">
      <c r="A234" s="3248" t="s">
        <v>305</v>
      </c>
      <c r="B234" s="3234" t="s">
        <v>2837</v>
      </c>
      <c r="C234" s="3235">
        <v>0.13</v>
      </c>
      <c r="D234" s="3235">
        <v>0.128</v>
      </c>
      <c r="E234" s="3235">
        <v>0.14199999999999999</v>
      </c>
      <c r="F234" s="3235">
        <v>0.14699999999999999</v>
      </c>
      <c r="G234" s="3236">
        <v>0.14000000000000001</v>
      </c>
    </row>
    <row r="235" spans="1:7">
      <c r="A235" s="3249" t="s">
        <v>305</v>
      </c>
      <c r="B235" s="3238" t="s">
        <v>134</v>
      </c>
      <c r="C235" s="3239">
        <v>0.13600000000000001</v>
      </c>
      <c r="D235" s="3239">
        <v>0.13800000000000001</v>
      </c>
      <c r="E235" s="3239">
        <v>0.14499999999999999</v>
      </c>
      <c r="F235" s="3239">
        <v>0.14299999999999999</v>
      </c>
      <c r="G235" s="3240">
        <v>0.14099999999999999</v>
      </c>
    </row>
    <row r="236" spans="1:7">
      <c r="A236" s="3249" t="s">
        <v>305</v>
      </c>
      <c r="B236" s="3238" t="s">
        <v>143</v>
      </c>
      <c r="C236" s="3239">
        <v>0.15</v>
      </c>
      <c r="D236" s="3239">
        <v>0.15</v>
      </c>
      <c r="E236" s="3239">
        <v>0.15</v>
      </c>
      <c r="F236" s="3239">
        <v>0.15</v>
      </c>
      <c r="G236" s="3240">
        <v>0.15</v>
      </c>
    </row>
    <row r="237" spans="1:7">
      <c r="A237" s="3249" t="s">
        <v>305</v>
      </c>
      <c r="B237" s="3238" t="s">
        <v>152</v>
      </c>
      <c r="C237" s="3239">
        <v>0.15</v>
      </c>
      <c r="D237" s="3239">
        <v>0.15</v>
      </c>
      <c r="E237" s="3239">
        <v>0.15</v>
      </c>
      <c r="F237" s="3239">
        <v>0.15</v>
      </c>
      <c r="G237" s="3240">
        <v>0.15</v>
      </c>
    </row>
    <row r="238" spans="1:7">
      <c r="A238" s="3249" t="s">
        <v>305</v>
      </c>
      <c r="B238" s="3238" t="s">
        <v>2857</v>
      </c>
      <c r="C238" s="3239">
        <v>0.14899999999999999</v>
      </c>
      <c r="D238" s="3239">
        <v>0.14899999999999999</v>
      </c>
      <c r="E238" s="3239">
        <v>0.15</v>
      </c>
      <c r="F238" s="3239">
        <v>0.15</v>
      </c>
      <c r="G238" s="3240">
        <v>0.15</v>
      </c>
    </row>
    <row r="239" spans="1:7">
      <c r="A239" s="3249" t="s">
        <v>305</v>
      </c>
      <c r="B239" s="3238" t="s">
        <v>2861</v>
      </c>
      <c r="C239" s="3239">
        <v>0.15</v>
      </c>
      <c r="D239" s="3239">
        <v>0.15</v>
      </c>
      <c r="E239" s="3239">
        <v>0.15</v>
      </c>
      <c r="F239" s="3239">
        <v>0.15</v>
      </c>
      <c r="G239" s="3240">
        <v>0.15</v>
      </c>
    </row>
    <row r="240" spans="1:7">
      <c r="A240" s="3249" t="s">
        <v>305</v>
      </c>
      <c r="B240" s="3238" t="s">
        <v>2866</v>
      </c>
      <c r="C240" s="3239">
        <v>0.15</v>
      </c>
      <c r="D240" s="3239">
        <v>0.15</v>
      </c>
      <c r="E240" s="3239">
        <v>0.15</v>
      </c>
      <c r="F240" s="3239">
        <v>0.15</v>
      </c>
      <c r="G240" s="3240">
        <v>0.15</v>
      </c>
    </row>
    <row r="241" spans="1:7">
      <c r="A241" s="3249" t="s">
        <v>305</v>
      </c>
      <c r="B241" s="3238" t="s">
        <v>2870</v>
      </c>
      <c r="C241" s="3239">
        <v>0.14099999999999999</v>
      </c>
      <c r="D241" s="3239">
        <v>0.14199999999999999</v>
      </c>
      <c r="E241" s="3239">
        <v>0.14899999999999999</v>
      </c>
      <c r="F241" s="3239">
        <v>0.15</v>
      </c>
      <c r="G241" s="3240">
        <v>0.14399999999999999</v>
      </c>
    </row>
    <row r="242" spans="1:7">
      <c r="A242" s="3249" t="s">
        <v>305</v>
      </c>
      <c r="B242" s="3238" t="s">
        <v>181</v>
      </c>
      <c r="C242" s="3239">
        <v>0.14099999999999999</v>
      </c>
      <c r="D242" s="3239">
        <v>0.14199999999999999</v>
      </c>
      <c r="E242" s="3239">
        <v>0.14799999999999999</v>
      </c>
      <c r="F242" s="3239">
        <v>0.127</v>
      </c>
      <c r="G242" s="3240">
        <v>0.14399999999999999</v>
      </c>
    </row>
    <row r="243" spans="1:7">
      <c r="A243" s="3249" t="s">
        <v>305</v>
      </c>
      <c r="B243" s="3238" t="s">
        <v>191</v>
      </c>
      <c r="C243" s="3239">
        <v>0.14699999999999999</v>
      </c>
      <c r="D243" s="3239">
        <v>0.14699999999999999</v>
      </c>
      <c r="E243" s="3239">
        <v>0.15</v>
      </c>
      <c r="F243" s="3239">
        <v>0.15</v>
      </c>
      <c r="G243" s="3240">
        <v>0.14899999999999999</v>
      </c>
    </row>
    <row r="244" spans="1:7">
      <c r="A244" s="3249" t="s">
        <v>305</v>
      </c>
      <c r="B244" s="3238" t="s">
        <v>2876</v>
      </c>
      <c r="C244" s="3239">
        <v>0.15</v>
      </c>
      <c r="D244" s="3239">
        <v>0.15</v>
      </c>
      <c r="E244" s="3239">
        <v>0.15</v>
      </c>
      <c r="F244" s="3239">
        <v>0.15</v>
      </c>
      <c r="G244" s="3240">
        <v>0.15</v>
      </c>
    </row>
    <row r="245" spans="1:7">
      <c r="A245" s="3249" t="s">
        <v>305</v>
      </c>
      <c r="B245" s="3238" t="s">
        <v>206</v>
      </c>
      <c r="C245" s="3239">
        <v>0.14199999999999999</v>
      </c>
      <c r="D245" s="3239">
        <v>0.14199999999999999</v>
      </c>
      <c r="E245" s="3239">
        <v>0.15</v>
      </c>
      <c r="F245" s="3239">
        <v>0.15</v>
      </c>
      <c r="G245" s="3240">
        <v>0.14499999999999999</v>
      </c>
    </row>
    <row r="246" spans="1:7">
      <c r="A246" s="3249" t="s">
        <v>305</v>
      </c>
      <c r="B246" s="3238" t="s">
        <v>213</v>
      </c>
      <c r="C246" s="3239">
        <v>0.14199999999999999</v>
      </c>
      <c r="D246" s="3239">
        <v>0.14299999999999999</v>
      </c>
      <c r="E246" s="3239">
        <v>0.15</v>
      </c>
      <c r="F246" s="3239">
        <v>0.14199999999999999</v>
      </c>
      <c r="G246" s="3240">
        <v>0.14399999999999999</v>
      </c>
    </row>
    <row r="247" spans="1:7">
      <c r="A247" s="3249" t="s">
        <v>305</v>
      </c>
      <c r="B247" s="3238" t="s">
        <v>2884</v>
      </c>
      <c r="C247" s="3239">
        <v>0.14899999999999999</v>
      </c>
      <c r="D247" s="3239">
        <v>0.14899999999999999</v>
      </c>
      <c r="E247" s="3239">
        <v>0.15</v>
      </c>
      <c r="F247" s="3239">
        <v>0.15</v>
      </c>
      <c r="G247" s="3240">
        <v>0.15</v>
      </c>
    </row>
    <row r="248" spans="1:7">
      <c r="A248" s="3249" t="s">
        <v>305</v>
      </c>
      <c r="B248" s="3238" t="s">
        <v>227</v>
      </c>
      <c r="C248" s="3239">
        <v>0.14399999999999999</v>
      </c>
      <c r="D248" s="3239">
        <v>0.14399999999999999</v>
      </c>
      <c r="E248" s="3239">
        <v>0.14899999999999999</v>
      </c>
      <c r="F248" s="3239">
        <v>0.14799999999999999</v>
      </c>
      <c r="G248" s="3240">
        <v>0.14599999999999999</v>
      </c>
    </row>
    <row r="249" spans="1:7">
      <c r="A249" s="3249" t="s">
        <v>305</v>
      </c>
      <c r="B249" s="3238" t="s">
        <v>2889</v>
      </c>
      <c r="C249" s="3239">
        <v>0.14000000000000001</v>
      </c>
      <c r="D249" s="3239">
        <v>0.14000000000000001</v>
      </c>
      <c r="E249" s="3239">
        <v>0.14699999999999999</v>
      </c>
      <c r="F249" s="3239">
        <v>0.14899999999999999</v>
      </c>
      <c r="G249" s="3240">
        <v>0.14199999999999999</v>
      </c>
    </row>
    <row r="250" spans="1:7">
      <c r="A250" s="3249" t="s">
        <v>305</v>
      </c>
      <c r="B250" s="3238" t="s">
        <v>241</v>
      </c>
      <c r="C250" s="3239">
        <v>0.14399999999999999</v>
      </c>
      <c r="D250" s="3239">
        <v>0.14299999999999999</v>
      </c>
      <c r="E250" s="3239">
        <v>0.14899999999999999</v>
      </c>
      <c r="F250" s="3239">
        <v>0.15</v>
      </c>
      <c r="G250" s="3240">
        <v>0.14599999999999999</v>
      </c>
    </row>
    <row r="251" spans="1:7">
      <c r="A251" s="3249" t="s">
        <v>305</v>
      </c>
      <c r="B251" s="3238" t="s">
        <v>249</v>
      </c>
      <c r="C251" s="3255"/>
      <c r="D251" s="3250"/>
      <c r="E251" s="3250"/>
      <c r="F251" s="3239">
        <v>0.1</v>
      </c>
      <c r="G251" s="3256"/>
    </row>
    <row r="252" spans="1:7">
      <c r="A252" s="3249" t="s">
        <v>305</v>
      </c>
      <c r="B252" s="3238" t="s">
        <v>2897</v>
      </c>
      <c r="C252" s="3239">
        <v>0.14399999999999999</v>
      </c>
      <c r="D252" s="3239">
        <v>0.14399999999999999</v>
      </c>
      <c r="E252" s="3239">
        <v>0.15</v>
      </c>
      <c r="F252" s="3239">
        <v>0.14899999999999999</v>
      </c>
      <c r="G252" s="3240">
        <v>0.14599999999999999</v>
      </c>
    </row>
    <row r="253" spans="1:7">
      <c r="A253" s="3249" t="s">
        <v>305</v>
      </c>
      <c r="B253" s="3238" t="s">
        <v>283</v>
      </c>
      <c r="C253" s="3239">
        <v>0.14199999999999999</v>
      </c>
      <c r="D253" s="3239">
        <v>0.14199999999999999</v>
      </c>
      <c r="E253" s="3239">
        <v>0.14599999999999999</v>
      </c>
      <c r="F253" s="3239">
        <v>0.14799999999999999</v>
      </c>
      <c r="G253" s="3240">
        <v>0.14499999999999999</v>
      </c>
    </row>
    <row r="254" spans="1:7">
      <c r="A254" s="3249" t="s">
        <v>305</v>
      </c>
      <c r="B254" s="3238" t="s">
        <v>286</v>
      </c>
      <c r="C254" s="3239">
        <v>0.15</v>
      </c>
      <c r="D254" s="3239">
        <v>0.15</v>
      </c>
      <c r="E254" s="3239">
        <v>0.15</v>
      </c>
      <c r="F254" s="3239">
        <v>0.15</v>
      </c>
      <c r="G254" s="3240">
        <v>0.15</v>
      </c>
    </row>
    <row r="255" spans="1:7">
      <c r="A255" s="3249" t="s">
        <v>305</v>
      </c>
      <c r="B255" s="3238" t="s">
        <v>289</v>
      </c>
      <c r="C255" s="3239">
        <v>0.14299999999999999</v>
      </c>
      <c r="D255" s="3239">
        <v>0.14299999999999999</v>
      </c>
      <c r="E255" s="3239">
        <v>0.15</v>
      </c>
      <c r="F255" s="3239">
        <v>0.15</v>
      </c>
      <c r="G255" s="3240">
        <v>0.14499999999999999</v>
      </c>
    </row>
    <row r="256" spans="1:7">
      <c r="A256" s="3249" t="s">
        <v>305</v>
      </c>
      <c r="B256" s="3238" t="s">
        <v>2910</v>
      </c>
      <c r="C256" s="3239">
        <v>0.15</v>
      </c>
      <c r="D256" s="3239">
        <v>0.15</v>
      </c>
      <c r="E256" s="3239">
        <v>0.15</v>
      </c>
      <c r="F256" s="3239">
        <v>0.14599999999999999</v>
      </c>
      <c r="G256" s="3240">
        <v>0.15</v>
      </c>
    </row>
    <row r="257" spans="1:7">
      <c r="A257" s="3249" t="s">
        <v>305</v>
      </c>
      <c r="B257" s="3238" t="s">
        <v>275</v>
      </c>
      <c r="C257" s="3239">
        <v>0.14199999999999999</v>
      </c>
      <c r="D257" s="3239">
        <v>0.14299999999999999</v>
      </c>
      <c r="E257" s="3239">
        <v>0.14799999999999999</v>
      </c>
      <c r="F257" s="3239">
        <v>0.15</v>
      </c>
      <c r="G257" s="3240">
        <v>0.14499999999999999</v>
      </c>
    </row>
    <row r="258" spans="1:7">
      <c r="A258" s="3249" t="s">
        <v>305</v>
      </c>
      <c r="B258" s="3238" t="s">
        <v>2919</v>
      </c>
      <c r="C258" s="3239">
        <v>0.14299999999999999</v>
      </c>
      <c r="D258" s="3239">
        <v>0.14299999999999999</v>
      </c>
      <c r="E258" s="3239">
        <v>0.15</v>
      </c>
      <c r="F258" s="3239">
        <v>0.14799999999999999</v>
      </c>
      <c r="G258" s="3240">
        <v>0.14599999999999999</v>
      </c>
    </row>
    <row r="259" spans="1:7">
      <c r="A259" s="3249" t="s">
        <v>305</v>
      </c>
      <c r="B259" s="3238" t="s">
        <v>2923</v>
      </c>
      <c r="C259" s="3239">
        <v>0.14399999999999999</v>
      </c>
      <c r="D259" s="3239">
        <v>0.14399999999999999</v>
      </c>
      <c r="E259" s="3239">
        <v>0.14899999999999999</v>
      </c>
      <c r="F259" s="3239">
        <v>0.14699999999999999</v>
      </c>
      <c r="G259" s="3240">
        <v>0.14599999999999999</v>
      </c>
    </row>
    <row r="260" spans="1:7">
      <c r="A260" s="3249" t="s">
        <v>305</v>
      </c>
      <c r="B260" s="3238" t="s">
        <v>2930</v>
      </c>
      <c r="C260" s="3239">
        <v>0.109</v>
      </c>
      <c r="D260" s="3239">
        <v>0.111</v>
      </c>
      <c r="E260" s="3239">
        <v>0.13100000000000001</v>
      </c>
      <c r="F260" s="3239">
        <v>0.126</v>
      </c>
      <c r="G260" s="3240">
        <v>0.11899999999999999</v>
      </c>
    </row>
    <row r="261" spans="1:7">
      <c r="A261" s="3249" t="s">
        <v>305</v>
      </c>
      <c r="B261" s="3238" t="s">
        <v>2937</v>
      </c>
      <c r="C261" s="3239">
        <v>0.1</v>
      </c>
      <c r="D261" s="3239">
        <v>0.1</v>
      </c>
      <c r="E261" s="3239">
        <v>0.11799999999999999</v>
      </c>
      <c r="F261" s="3239">
        <v>0.108</v>
      </c>
      <c r="G261" s="3240">
        <v>0.107</v>
      </c>
    </row>
    <row r="262" spans="1:7">
      <c r="A262" s="3249" t="s">
        <v>305</v>
      </c>
      <c r="B262" s="3238" t="s">
        <v>2943</v>
      </c>
      <c r="C262" s="3239">
        <v>0.1</v>
      </c>
      <c r="D262" s="3239">
        <v>0.1</v>
      </c>
      <c r="E262" s="3239">
        <v>0.1</v>
      </c>
      <c r="F262" s="3239">
        <v>0.14099999999999999</v>
      </c>
      <c r="G262" s="3240">
        <v>0.1</v>
      </c>
    </row>
    <row r="263" spans="1:7">
      <c r="A263" s="3249" t="s">
        <v>305</v>
      </c>
      <c r="B263" s="3238" t="s">
        <v>2950</v>
      </c>
      <c r="C263" s="3239">
        <v>0.14799999999999999</v>
      </c>
      <c r="D263" s="3239">
        <v>0.14799999999999999</v>
      </c>
      <c r="E263" s="3239">
        <v>0.15</v>
      </c>
      <c r="F263" s="3239">
        <v>0.14699999999999999</v>
      </c>
      <c r="G263" s="3240">
        <v>0.15</v>
      </c>
    </row>
    <row r="264" spans="1:7">
      <c r="A264" s="3249" t="s">
        <v>305</v>
      </c>
      <c r="B264" s="3238" t="s">
        <v>299</v>
      </c>
      <c r="C264" s="3239">
        <v>0.14299999999999999</v>
      </c>
      <c r="D264" s="3239">
        <v>0.14299999999999999</v>
      </c>
      <c r="E264" s="3239">
        <v>0.15</v>
      </c>
      <c r="F264" s="3239">
        <v>0.14899999999999999</v>
      </c>
      <c r="G264" s="3240">
        <v>0.14599999999999999</v>
      </c>
    </row>
    <row r="265" spans="1:7">
      <c r="A265" s="3249" t="s">
        <v>305</v>
      </c>
      <c r="B265" s="3238" t="s">
        <v>2961</v>
      </c>
      <c r="C265" s="3250"/>
      <c r="D265" s="3250"/>
      <c r="E265" s="3250"/>
      <c r="F265" s="3239">
        <v>0.05</v>
      </c>
      <c r="G265" s="3256"/>
    </row>
    <row r="266" spans="1:7">
      <c r="A266" s="3249" t="s">
        <v>305</v>
      </c>
      <c r="B266" s="3238" t="s">
        <v>2965</v>
      </c>
      <c r="C266" s="3250"/>
      <c r="D266" s="3250"/>
      <c r="E266" s="3250"/>
      <c r="F266" s="3239">
        <v>0.05</v>
      </c>
      <c r="G266" s="3256"/>
    </row>
    <row r="267" spans="1:7">
      <c r="A267" s="3249" t="s">
        <v>305</v>
      </c>
      <c r="B267" s="3238" t="s">
        <v>2970</v>
      </c>
      <c r="C267" s="3250"/>
      <c r="D267" s="3250"/>
      <c r="E267" s="3250"/>
      <c r="F267" s="3239">
        <v>0.05</v>
      </c>
      <c r="G267" s="3256"/>
    </row>
    <row r="268" spans="1:7">
      <c r="A268" s="3249" t="s">
        <v>305</v>
      </c>
      <c r="B268" s="3238" t="s">
        <v>2975</v>
      </c>
      <c r="C268" s="3250"/>
      <c r="D268" s="3250"/>
      <c r="E268" s="3250"/>
      <c r="F268" s="3239">
        <v>0.05</v>
      </c>
      <c r="G268" s="3256"/>
    </row>
    <row r="269" spans="1:7">
      <c r="A269" s="3249" t="s">
        <v>305</v>
      </c>
      <c r="B269" s="3238" t="s">
        <v>2980</v>
      </c>
      <c r="C269" s="3250"/>
      <c r="D269" s="3250"/>
      <c r="E269" s="3250"/>
      <c r="F269" s="3239">
        <v>0.05</v>
      </c>
      <c r="G269" s="3256"/>
    </row>
    <row r="270" spans="1:7">
      <c r="A270" s="3249" t="s">
        <v>305</v>
      </c>
      <c r="B270" s="3238" t="s">
        <v>2985</v>
      </c>
      <c r="C270" s="3250"/>
      <c r="D270" s="3250"/>
      <c r="E270" s="3250"/>
      <c r="F270" s="3239">
        <v>0.05</v>
      </c>
      <c r="G270" s="3256"/>
    </row>
    <row r="271" spans="1:7">
      <c r="A271" s="3249" t="s">
        <v>305</v>
      </c>
      <c r="B271" s="3238" t="s">
        <v>3189</v>
      </c>
      <c r="C271" s="3250"/>
      <c r="D271" s="3250"/>
      <c r="E271" s="3250"/>
      <c r="F271" s="3239">
        <v>0.05</v>
      </c>
      <c r="G271" s="3256"/>
    </row>
    <row r="272" spans="1:7">
      <c r="A272" s="3249" t="s">
        <v>305</v>
      </c>
      <c r="B272" s="3238" t="s">
        <v>3190</v>
      </c>
      <c r="C272" s="3250"/>
      <c r="D272" s="3250"/>
      <c r="E272" s="3250"/>
      <c r="F272" s="3239">
        <v>0.05</v>
      </c>
      <c r="G272" s="3256"/>
    </row>
    <row r="273" spans="1:7">
      <c r="A273" s="3249" t="s">
        <v>305</v>
      </c>
      <c r="B273" s="3238" t="s">
        <v>3191</v>
      </c>
      <c r="C273" s="3250"/>
      <c r="D273" s="3250"/>
      <c r="E273" s="3250"/>
      <c r="F273" s="3239">
        <v>0.05</v>
      </c>
      <c r="G273" s="3256"/>
    </row>
    <row r="274" spans="1:7">
      <c r="A274" s="3249" t="s">
        <v>305</v>
      </c>
      <c r="B274" s="3238" t="s">
        <v>3192</v>
      </c>
      <c r="C274" s="3250"/>
      <c r="D274" s="3250"/>
      <c r="E274" s="3250"/>
      <c r="F274" s="3239">
        <v>0.05</v>
      </c>
      <c r="G274" s="3256"/>
    </row>
    <row r="275" spans="1:7">
      <c r="A275" s="3249" t="s">
        <v>305</v>
      </c>
      <c r="B275" s="3238" t="s">
        <v>3193</v>
      </c>
      <c r="C275" s="3250"/>
      <c r="D275" s="3250"/>
      <c r="E275" s="3250"/>
      <c r="F275" s="3239">
        <v>0.05</v>
      </c>
      <c r="G275" s="3256"/>
    </row>
    <row r="276" spans="1:7" ht="14.25" thickBot="1">
      <c r="A276" s="3252" t="s">
        <v>305</v>
      </c>
      <c r="B276" s="3242" t="s">
        <v>3194</v>
      </c>
      <c r="C276" s="3244"/>
      <c r="D276" s="3244"/>
      <c r="E276" s="3244"/>
      <c r="F276" s="3243">
        <v>0.05</v>
      </c>
      <c r="G276" s="3257"/>
    </row>
    <row r="277" spans="1:7">
      <c r="A277" s="3248" t="s">
        <v>306</v>
      </c>
      <c r="B277" s="3234" t="s">
        <v>2838</v>
      </c>
      <c r="C277" s="3235">
        <v>0.15</v>
      </c>
      <c r="D277" s="3235">
        <v>0.15</v>
      </c>
      <c r="E277" s="3235">
        <v>0.15</v>
      </c>
      <c r="F277" s="3235">
        <v>0.15</v>
      </c>
      <c r="G277" s="3236">
        <v>0.15</v>
      </c>
    </row>
    <row r="278" spans="1:7">
      <c r="A278" s="3249" t="s">
        <v>306</v>
      </c>
      <c r="B278" s="3238" t="s">
        <v>135</v>
      </c>
      <c r="C278" s="3239">
        <v>0.15</v>
      </c>
      <c r="D278" s="3239">
        <v>0.15</v>
      </c>
      <c r="E278" s="3239">
        <v>0.15</v>
      </c>
      <c r="F278" s="3239">
        <v>0.15</v>
      </c>
      <c r="G278" s="3240">
        <v>0.15</v>
      </c>
    </row>
    <row r="279" spans="1:7">
      <c r="A279" s="3249" t="s">
        <v>306</v>
      </c>
      <c r="B279" s="3238" t="s">
        <v>2850</v>
      </c>
      <c r="C279" s="3239">
        <v>0.15</v>
      </c>
      <c r="D279" s="3239">
        <v>0.15</v>
      </c>
      <c r="E279" s="3239">
        <v>0.15</v>
      </c>
      <c r="F279" s="3239">
        <v>0.15</v>
      </c>
      <c r="G279" s="3240">
        <v>0.15</v>
      </c>
    </row>
    <row r="280" spans="1:7">
      <c r="A280" s="3249" t="s">
        <v>306</v>
      </c>
      <c r="B280" s="3238" t="s">
        <v>2854</v>
      </c>
      <c r="C280" s="3239">
        <v>0.15</v>
      </c>
      <c r="D280" s="3239">
        <v>0.15</v>
      </c>
      <c r="E280" s="3239">
        <v>0.15</v>
      </c>
      <c r="F280" s="3239">
        <v>0.15</v>
      </c>
      <c r="G280" s="3240">
        <v>0.15</v>
      </c>
    </row>
    <row r="281" spans="1:7">
      <c r="A281" s="3249" t="s">
        <v>306</v>
      </c>
      <c r="B281" s="3238" t="s">
        <v>2858</v>
      </c>
      <c r="C281" s="3239">
        <v>0.15</v>
      </c>
      <c r="D281" s="3239">
        <v>0.15</v>
      </c>
      <c r="E281" s="3239">
        <v>0.15</v>
      </c>
      <c r="F281" s="3239">
        <v>0.15</v>
      </c>
      <c r="G281" s="3240">
        <v>0.15</v>
      </c>
    </row>
    <row r="282" spans="1:7">
      <c r="A282" s="3249" t="s">
        <v>306</v>
      </c>
      <c r="B282" s="3238" t="s">
        <v>2862</v>
      </c>
      <c r="C282" s="3239">
        <v>0.15</v>
      </c>
      <c r="D282" s="3239">
        <v>0.15</v>
      </c>
      <c r="E282" s="3239">
        <v>0.15</v>
      </c>
      <c r="F282" s="3239">
        <v>0.14499999999999999</v>
      </c>
      <c r="G282" s="3240">
        <v>0.15</v>
      </c>
    </row>
    <row r="283" spans="1:7">
      <c r="A283" s="3249" t="s">
        <v>306</v>
      </c>
      <c r="B283" s="3238" t="s">
        <v>174</v>
      </c>
      <c r="C283" s="3239">
        <v>0.15</v>
      </c>
      <c r="D283" s="3239">
        <v>0.15</v>
      </c>
      <c r="E283" s="3239">
        <v>0.15</v>
      </c>
      <c r="F283" s="3239">
        <v>0.14199999999999999</v>
      </c>
      <c r="G283" s="3240">
        <v>0.15</v>
      </c>
    </row>
    <row r="284" spans="1:7">
      <c r="A284" s="3249" t="s">
        <v>306</v>
      </c>
      <c r="B284" s="3238" t="s">
        <v>182</v>
      </c>
      <c r="C284" s="3239">
        <v>0.15</v>
      </c>
      <c r="D284" s="3239">
        <v>0.15</v>
      </c>
      <c r="E284" s="3239">
        <v>0.15</v>
      </c>
      <c r="F284" s="3239">
        <v>0.15</v>
      </c>
      <c r="G284" s="3240">
        <v>0.15</v>
      </c>
    </row>
    <row r="285" spans="1:7">
      <c r="A285" s="3249" t="s">
        <v>306</v>
      </c>
      <c r="B285" s="3238" t="s">
        <v>192</v>
      </c>
      <c r="C285" s="3239">
        <v>0.15</v>
      </c>
      <c r="D285" s="3239">
        <v>0.15</v>
      </c>
      <c r="E285" s="3239">
        <v>0.15</v>
      </c>
      <c r="F285" s="3239">
        <v>0.15</v>
      </c>
      <c r="G285" s="3240">
        <v>0.15</v>
      </c>
    </row>
    <row r="286" spans="1:7">
      <c r="A286" s="3249" t="s">
        <v>306</v>
      </c>
      <c r="B286" s="3238" t="s">
        <v>199</v>
      </c>
      <c r="C286" s="3239">
        <v>0.14499999999999999</v>
      </c>
      <c r="D286" s="3239">
        <v>0.14499999999999999</v>
      </c>
      <c r="E286" s="3239">
        <v>0.15</v>
      </c>
      <c r="F286" s="3239">
        <v>0.14099999999999999</v>
      </c>
      <c r="G286" s="3240">
        <v>0.14499999999999999</v>
      </c>
    </row>
    <row r="287" spans="1:7">
      <c r="A287" s="3249" t="s">
        <v>306</v>
      </c>
      <c r="B287" s="3238" t="s">
        <v>2877</v>
      </c>
      <c r="C287" s="3239">
        <v>0.11</v>
      </c>
      <c r="D287" s="3239">
        <v>0.111</v>
      </c>
      <c r="E287" s="3239">
        <v>0.14099999999999999</v>
      </c>
      <c r="F287" s="3239">
        <v>0.11</v>
      </c>
      <c r="G287" s="3240">
        <v>0.12</v>
      </c>
    </row>
    <row r="288" spans="1:7">
      <c r="A288" s="3249" t="s">
        <v>306</v>
      </c>
      <c r="B288" s="3238" t="s">
        <v>219</v>
      </c>
      <c r="C288" s="3239">
        <v>0.14199999999999999</v>
      </c>
      <c r="D288" s="3239">
        <v>0.14299999999999999</v>
      </c>
      <c r="E288" s="3239">
        <v>0.15</v>
      </c>
      <c r="F288" s="3239">
        <v>0.14199999999999999</v>
      </c>
      <c r="G288" s="3240">
        <v>0.14399999999999999</v>
      </c>
    </row>
    <row r="289" spans="1:7">
      <c r="A289" s="3249" t="s">
        <v>306</v>
      </c>
      <c r="B289" s="3238" t="s">
        <v>2882</v>
      </c>
      <c r="C289" s="3239">
        <v>0.14299999999999999</v>
      </c>
      <c r="D289" s="3239">
        <v>0.14299999999999999</v>
      </c>
      <c r="E289" s="3239">
        <v>0.14799999999999999</v>
      </c>
      <c r="F289" s="3239">
        <v>0.14399999999999999</v>
      </c>
      <c r="G289" s="3240">
        <v>0.14399999999999999</v>
      </c>
    </row>
    <row r="290" spans="1:7">
      <c r="A290" s="3249" t="s">
        <v>306</v>
      </c>
      <c r="B290" s="3238" t="s">
        <v>242</v>
      </c>
      <c r="C290" s="3239">
        <v>0.14799999999999999</v>
      </c>
      <c r="D290" s="3239">
        <v>0.14899999999999999</v>
      </c>
      <c r="E290" s="3239">
        <v>0.15</v>
      </c>
      <c r="F290" s="3239">
        <v>0.127</v>
      </c>
      <c r="G290" s="3240">
        <v>0.15</v>
      </c>
    </row>
    <row r="291" spans="1:7">
      <c r="A291" s="3249" t="s">
        <v>306</v>
      </c>
      <c r="B291" s="3238" t="s">
        <v>250</v>
      </c>
      <c r="C291" s="3239">
        <v>0.15</v>
      </c>
      <c r="D291" s="3239">
        <v>0.15</v>
      </c>
      <c r="E291" s="3239">
        <v>0.15</v>
      </c>
      <c r="F291" s="3239">
        <v>0.14899999999999999</v>
      </c>
      <c r="G291" s="3240">
        <v>0.15</v>
      </c>
    </row>
    <row r="292" spans="1:7">
      <c r="A292" s="3249" t="s">
        <v>306</v>
      </c>
      <c r="B292" s="3238" t="s">
        <v>256</v>
      </c>
      <c r="C292" s="3239">
        <v>0.15</v>
      </c>
      <c r="D292" s="3239">
        <v>0.15</v>
      </c>
      <c r="E292" s="3239">
        <v>0.15</v>
      </c>
      <c r="F292" s="3239">
        <v>0.14399999999999999</v>
      </c>
      <c r="G292" s="3240">
        <v>0.15</v>
      </c>
    </row>
    <row r="293" spans="1:7">
      <c r="A293" s="3249" t="s">
        <v>306</v>
      </c>
      <c r="B293" s="3238" t="s">
        <v>2892</v>
      </c>
      <c r="C293" s="3239">
        <v>0.15</v>
      </c>
      <c r="D293" s="3239">
        <v>0.15</v>
      </c>
      <c r="E293" s="3239">
        <v>0.15</v>
      </c>
      <c r="F293" s="3239">
        <v>0.14499999999999999</v>
      </c>
      <c r="G293" s="3240">
        <v>0.15</v>
      </c>
    </row>
    <row r="294" spans="1:7">
      <c r="A294" s="3249" t="s">
        <v>306</v>
      </c>
      <c r="B294" s="3238" t="s">
        <v>2894</v>
      </c>
      <c r="C294" s="3239">
        <v>0.15</v>
      </c>
      <c r="D294" s="3239">
        <v>0.15</v>
      </c>
      <c r="E294" s="3239">
        <v>0.15</v>
      </c>
      <c r="F294" s="3239">
        <v>0.14899999999999999</v>
      </c>
      <c r="G294" s="3240">
        <v>0.15</v>
      </c>
    </row>
    <row r="295" spans="1:7">
      <c r="A295" s="3249" t="s">
        <v>306</v>
      </c>
      <c r="B295" s="3238" t="s">
        <v>290</v>
      </c>
      <c r="C295" s="3239">
        <v>0.15</v>
      </c>
      <c r="D295" s="3239">
        <v>0.15</v>
      </c>
      <c r="E295" s="3239">
        <v>0.15</v>
      </c>
      <c r="F295" s="3239">
        <v>0.14799999999999999</v>
      </c>
      <c r="G295" s="3240">
        <v>0.15</v>
      </c>
    </row>
    <row r="296" spans="1:7">
      <c r="A296" s="3249" t="s">
        <v>306</v>
      </c>
      <c r="B296" s="3238" t="s">
        <v>293</v>
      </c>
      <c r="C296" s="3239">
        <v>0.15</v>
      </c>
      <c r="D296" s="3239">
        <v>0.15</v>
      </c>
      <c r="E296" s="3239">
        <v>0.15</v>
      </c>
      <c r="F296" s="3239">
        <v>0.14399999999999999</v>
      </c>
      <c r="G296" s="3240">
        <v>0.15</v>
      </c>
    </row>
    <row r="297" spans="1:7">
      <c r="A297" s="3249" t="s">
        <v>306</v>
      </c>
      <c r="B297" s="3238" t="s">
        <v>295</v>
      </c>
      <c r="C297" s="3239">
        <v>0.15</v>
      </c>
      <c r="D297" s="3239">
        <v>0.15</v>
      </c>
      <c r="E297" s="3239">
        <v>0.15</v>
      </c>
      <c r="F297" s="3239">
        <v>0.14499999999999999</v>
      </c>
      <c r="G297" s="3240">
        <v>0.15</v>
      </c>
    </row>
    <row r="298" spans="1:7">
      <c r="A298" s="3249" t="s">
        <v>306</v>
      </c>
      <c r="B298" s="3238" t="s">
        <v>298</v>
      </c>
      <c r="C298" s="3239">
        <v>0.15</v>
      </c>
      <c r="D298" s="3239">
        <v>0.15</v>
      </c>
      <c r="E298" s="3239">
        <v>0.15</v>
      </c>
      <c r="F298" s="3239">
        <v>0.15</v>
      </c>
      <c r="G298" s="3240">
        <v>0.15</v>
      </c>
    </row>
    <row r="299" spans="1:7">
      <c r="A299" s="3249" t="s">
        <v>306</v>
      </c>
      <c r="B299" s="3258" t="s">
        <v>2911</v>
      </c>
      <c r="C299" s="3239">
        <v>0.15</v>
      </c>
      <c r="D299" s="3239">
        <v>0.15</v>
      </c>
      <c r="E299" s="3239">
        <v>0.15</v>
      </c>
      <c r="F299" s="3239">
        <v>0.14499999999999999</v>
      </c>
      <c r="G299" s="3240">
        <v>0.15</v>
      </c>
    </row>
    <row r="300" spans="1:7">
      <c r="A300" s="3249" t="s">
        <v>306</v>
      </c>
      <c r="B300" s="3258" t="s">
        <v>271</v>
      </c>
      <c r="C300" s="3239">
        <v>0.15</v>
      </c>
      <c r="D300" s="3239">
        <v>0.15</v>
      </c>
      <c r="E300" s="3239">
        <v>0.15</v>
      </c>
      <c r="F300" s="3239">
        <v>0.14599999999999999</v>
      </c>
      <c r="G300" s="3240">
        <v>0.15</v>
      </c>
    </row>
    <row r="301" spans="1:7">
      <c r="A301" s="3249" t="s">
        <v>306</v>
      </c>
      <c r="B301" s="3258" t="s">
        <v>276</v>
      </c>
      <c r="C301" s="3239">
        <v>0.126</v>
      </c>
      <c r="D301" s="3239">
        <v>0.124</v>
      </c>
      <c r="E301" s="3239">
        <v>0.14099999999999999</v>
      </c>
      <c r="F301" s="3239">
        <v>0.14399999999999999</v>
      </c>
      <c r="G301" s="3240">
        <v>0.13</v>
      </c>
    </row>
    <row r="302" spans="1:7">
      <c r="A302" s="3249" t="s">
        <v>306</v>
      </c>
      <c r="B302" s="3238" t="s">
        <v>2924</v>
      </c>
      <c r="C302" s="3239">
        <v>0.15</v>
      </c>
      <c r="D302" s="3239">
        <v>0.15</v>
      </c>
      <c r="E302" s="3239">
        <v>0.15</v>
      </c>
      <c r="F302" s="3239">
        <v>0.14699999999999999</v>
      </c>
      <c r="G302" s="3240">
        <v>0.15</v>
      </c>
    </row>
    <row r="303" spans="1:7">
      <c r="A303" s="3249" t="s">
        <v>306</v>
      </c>
      <c r="B303" s="3238" t="s">
        <v>2931</v>
      </c>
      <c r="C303" s="3239">
        <v>0.15</v>
      </c>
      <c r="D303" s="3239">
        <v>0.15</v>
      </c>
      <c r="E303" s="3239">
        <v>0.15</v>
      </c>
      <c r="F303" s="3239">
        <v>0.14199999999999999</v>
      </c>
      <c r="G303" s="3240">
        <v>0.15</v>
      </c>
    </row>
    <row r="304" spans="1:7">
      <c r="A304" s="3249" t="s">
        <v>306</v>
      </c>
      <c r="B304" s="3238" t="s">
        <v>2938</v>
      </c>
      <c r="C304" s="3239">
        <v>0.15</v>
      </c>
      <c r="D304" s="3239">
        <v>0.15</v>
      </c>
      <c r="E304" s="3239">
        <v>0.15</v>
      </c>
      <c r="F304" s="3239">
        <v>0.14499999999999999</v>
      </c>
      <c r="G304" s="3240">
        <v>0.15</v>
      </c>
    </row>
    <row r="305" spans="1:7">
      <c r="A305" s="3249" t="s">
        <v>306</v>
      </c>
      <c r="B305" s="3238" t="s">
        <v>2944</v>
      </c>
      <c r="C305" s="3239">
        <v>0.15</v>
      </c>
      <c r="D305" s="3239">
        <v>0.15</v>
      </c>
      <c r="E305" s="3239">
        <v>0.15</v>
      </c>
      <c r="F305" s="3239">
        <v>0.111</v>
      </c>
      <c r="G305" s="3240">
        <v>0.15</v>
      </c>
    </row>
    <row r="306" spans="1:7">
      <c r="A306" s="3249" t="s">
        <v>306</v>
      </c>
      <c r="B306" s="3238" t="s">
        <v>2951</v>
      </c>
      <c r="C306" s="3239">
        <v>0.15</v>
      </c>
      <c r="D306" s="3239">
        <v>0.15</v>
      </c>
      <c r="E306" s="3239">
        <v>0.15</v>
      </c>
      <c r="F306" s="3239">
        <v>0.126</v>
      </c>
      <c r="G306" s="3240">
        <v>0.15</v>
      </c>
    </row>
    <row r="307" spans="1:7">
      <c r="A307" s="3249" t="s">
        <v>306</v>
      </c>
      <c r="B307" s="3238" t="s">
        <v>2956</v>
      </c>
      <c r="C307" s="3239">
        <v>0.15</v>
      </c>
      <c r="D307" s="3239">
        <v>0.15</v>
      </c>
      <c r="E307" s="3239">
        <v>0.15</v>
      </c>
      <c r="F307" s="3239">
        <v>0.12</v>
      </c>
      <c r="G307" s="3240">
        <v>0.15</v>
      </c>
    </row>
    <row r="308" spans="1:7">
      <c r="A308" s="3249" t="s">
        <v>306</v>
      </c>
      <c r="B308" s="3238" t="s">
        <v>2962</v>
      </c>
      <c r="C308" s="3239">
        <v>0.15</v>
      </c>
      <c r="D308" s="3239">
        <v>0.15</v>
      </c>
      <c r="E308" s="3239">
        <v>0.15</v>
      </c>
      <c r="F308" s="3239">
        <v>0.13</v>
      </c>
      <c r="G308" s="3240">
        <v>0.15</v>
      </c>
    </row>
    <row r="309" spans="1:7">
      <c r="A309" s="3249" t="s">
        <v>306</v>
      </c>
      <c r="B309" s="3238" t="s">
        <v>2966</v>
      </c>
      <c r="C309" s="3239">
        <v>0.15</v>
      </c>
      <c r="D309" s="3239">
        <v>0.15</v>
      </c>
      <c r="E309" s="3239">
        <v>0.15</v>
      </c>
      <c r="F309" s="3239">
        <v>0.14099999999999999</v>
      </c>
      <c r="G309" s="3240">
        <v>0.15</v>
      </c>
    </row>
    <row r="310" spans="1:7">
      <c r="A310" s="3249" t="s">
        <v>306</v>
      </c>
      <c r="B310" s="3238" t="s">
        <v>2971</v>
      </c>
      <c r="C310" s="3239">
        <v>0.15</v>
      </c>
      <c r="D310" s="3239">
        <v>0.15</v>
      </c>
      <c r="E310" s="3239">
        <v>0.15</v>
      </c>
      <c r="F310" s="3239">
        <v>0.15</v>
      </c>
      <c r="G310" s="3240">
        <v>0.15</v>
      </c>
    </row>
    <row r="311" spans="1:7">
      <c r="A311" s="3249" t="s">
        <v>306</v>
      </c>
      <c r="B311" s="3238" t="s">
        <v>2976</v>
      </c>
      <c r="C311" s="3239">
        <v>0.13200000000000001</v>
      </c>
      <c r="D311" s="3239">
        <v>0.13300000000000001</v>
      </c>
      <c r="E311" s="3239">
        <v>0.14499999999999999</v>
      </c>
      <c r="F311" s="3239">
        <v>0.14199999999999999</v>
      </c>
      <c r="G311" s="3240">
        <v>0.14000000000000001</v>
      </c>
    </row>
    <row r="312" spans="1:7">
      <c r="A312" s="3249" t="s">
        <v>306</v>
      </c>
      <c r="B312" s="3238" t="s">
        <v>2981</v>
      </c>
      <c r="C312" s="3239">
        <v>0.13800000000000001</v>
      </c>
      <c r="D312" s="3239">
        <v>0.14000000000000001</v>
      </c>
      <c r="E312" s="3239">
        <v>0.14599999999999999</v>
      </c>
      <c r="F312" s="3239">
        <v>0.14899999999999999</v>
      </c>
      <c r="G312" s="3240">
        <v>0.14199999999999999</v>
      </c>
    </row>
    <row r="313" spans="1:7">
      <c r="A313" s="3249" t="s">
        <v>306</v>
      </c>
      <c r="B313" s="3238" t="s">
        <v>2986</v>
      </c>
      <c r="C313" s="3239">
        <v>0.125</v>
      </c>
      <c r="D313" s="3239">
        <v>0.127</v>
      </c>
      <c r="E313" s="3239">
        <v>0.14399999999999999</v>
      </c>
      <c r="F313" s="3239">
        <v>0.115</v>
      </c>
      <c r="G313" s="3240">
        <v>0.13600000000000001</v>
      </c>
    </row>
    <row r="314" spans="1:7">
      <c r="A314" s="3249" t="s">
        <v>306</v>
      </c>
      <c r="B314" s="3238" t="s">
        <v>3195</v>
      </c>
      <c r="C314" s="3255"/>
      <c r="D314" s="3255"/>
      <c r="E314" s="3255"/>
      <c r="F314" s="3239">
        <v>0.05</v>
      </c>
      <c r="G314" s="3256"/>
    </row>
    <row r="315" spans="1:7">
      <c r="A315" s="3249" t="s">
        <v>306</v>
      </c>
      <c r="B315" s="3238" t="s">
        <v>3196</v>
      </c>
      <c r="C315" s="3255"/>
      <c r="D315" s="3255"/>
      <c r="E315" s="3255"/>
      <c r="F315" s="3239">
        <v>0.05</v>
      </c>
      <c r="G315" s="3256"/>
    </row>
    <row r="316" spans="1:7">
      <c r="A316" s="3249" t="s">
        <v>306</v>
      </c>
      <c r="B316" s="3238" t="s">
        <v>3197</v>
      </c>
      <c r="C316" s="3250"/>
      <c r="D316" s="3250"/>
      <c r="E316" s="3250"/>
      <c r="F316" s="3239">
        <v>0.05</v>
      </c>
      <c r="G316" s="3256"/>
    </row>
    <row r="317" spans="1:7">
      <c r="A317" s="3249" t="s">
        <v>306</v>
      </c>
      <c r="B317" s="3238" t="s">
        <v>3198</v>
      </c>
      <c r="C317" s="3250"/>
      <c r="D317" s="3250"/>
      <c r="E317" s="3250"/>
      <c r="F317" s="3239">
        <v>0.05</v>
      </c>
      <c r="G317" s="3256"/>
    </row>
    <row r="318" spans="1:7">
      <c r="A318" s="3249" t="s">
        <v>306</v>
      </c>
      <c r="B318" s="3238" t="s">
        <v>3199</v>
      </c>
      <c r="C318" s="3250"/>
      <c r="D318" s="3250"/>
      <c r="E318" s="3250"/>
      <c r="F318" s="3239">
        <v>0.05</v>
      </c>
      <c r="G318" s="3256"/>
    </row>
    <row r="319" spans="1:7">
      <c r="A319" s="3249" t="s">
        <v>306</v>
      </c>
      <c r="B319" s="3238" t="s">
        <v>3200</v>
      </c>
      <c r="C319" s="3250"/>
      <c r="D319" s="3250"/>
      <c r="E319" s="3250"/>
      <c r="F319" s="3239">
        <v>0.05</v>
      </c>
      <c r="G319" s="3256"/>
    </row>
    <row r="320" spans="1:7">
      <c r="A320" s="3249" t="s">
        <v>306</v>
      </c>
      <c r="B320" s="3238" t="s">
        <v>3201</v>
      </c>
      <c r="C320" s="3250"/>
      <c r="D320" s="3250"/>
      <c r="E320" s="3250"/>
      <c r="F320" s="3239">
        <v>0.05</v>
      </c>
      <c r="G320" s="3256"/>
    </row>
    <row r="321" spans="1:7">
      <c r="A321" s="3249" t="s">
        <v>306</v>
      </c>
      <c r="B321" s="3238" t="s">
        <v>3202</v>
      </c>
      <c r="C321" s="3250"/>
      <c r="D321" s="3250"/>
      <c r="E321" s="3250"/>
      <c r="F321" s="3239">
        <v>0.05</v>
      </c>
      <c r="G321" s="3256"/>
    </row>
    <row r="322" spans="1:7">
      <c r="A322" s="3249" t="s">
        <v>306</v>
      </c>
      <c r="B322" s="3238" t="s">
        <v>3203</v>
      </c>
      <c r="C322" s="3250"/>
      <c r="D322" s="3250"/>
      <c r="E322" s="3250"/>
      <c r="F322" s="3239">
        <v>0.05</v>
      </c>
      <c r="G322" s="3256"/>
    </row>
    <row r="323" spans="1:7">
      <c r="A323" s="3249" t="s">
        <v>306</v>
      </c>
      <c r="B323" s="3238" t="s">
        <v>3204</v>
      </c>
      <c r="C323" s="3250"/>
      <c r="D323" s="3250"/>
      <c r="E323" s="3250"/>
      <c r="F323" s="3239">
        <v>0.05</v>
      </c>
      <c r="G323" s="3256"/>
    </row>
    <row r="324" spans="1:7">
      <c r="A324" s="3249" t="s">
        <v>306</v>
      </c>
      <c r="B324" s="3238" t="s">
        <v>3205</v>
      </c>
      <c r="C324" s="3250"/>
      <c r="D324" s="3250"/>
      <c r="E324" s="3250"/>
      <c r="F324" s="3239">
        <v>0.05</v>
      </c>
      <c r="G324" s="3256"/>
    </row>
    <row r="325" spans="1:7">
      <c r="A325" s="3249" t="s">
        <v>306</v>
      </c>
      <c r="B325" s="3238" t="s">
        <v>3206</v>
      </c>
      <c r="C325" s="3250"/>
      <c r="D325" s="3250"/>
      <c r="E325" s="3250"/>
      <c r="F325" s="3239">
        <v>0.05</v>
      </c>
      <c r="G325" s="3256"/>
    </row>
    <row r="326" spans="1:7" ht="14.25" thickBot="1">
      <c r="A326" s="3252" t="s">
        <v>306</v>
      </c>
      <c r="B326" s="3242" t="s">
        <v>3207</v>
      </c>
      <c r="C326" s="3244"/>
      <c r="D326" s="3244"/>
      <c r="E326" s="3244"/>
      <c r="F326" s="3243">
        <v>0.05</v>
      </c>
      <c r="G326" s="3257"/>
    </row>
    <row r="327" spans="1:7">
      <c r="A327" s="3248" t="s">
        <v>307</v>
      </c>
      <c r="B327" s="3234" t="s">
        <v>2839</v>
      </c>
      <c r="C327" s="3235">
        <v>0.15</v>
      </c>
      <c r="D327" s="3235">
        <v>0.15</v>
      </c>
      <c r="E327" s="3235">
        <v>0.15</v>
      </c>
      <c r="F327" s="3235">
        <v>0.15</v>
      </c>
      <c r="G327" s="3236">
        <v>0.15</v>
      </c>
    </row>
    <row r="328" spans="1:7">
      <c r="A328" s="3249" t="s">
        <v>307</v>
      </c>
      <c r="B328" s="3238" t="s">
        <v>136</v>
      </c>
      <c r="C328" s="3239">
        <v>0.15</v>
      </c>
      <c r="D328" s="3239">
        <v>0.15</v>
      </c>
      <c r="E328" s="3239">
        <v>0.15</v>
      </c>
      <c r="F328" s="3239">
        <v>0.126</v>
      </c>
      <c r="G328" s="3240">
        <v>0.15</v>
      </c>
    </row>
    <row r="329" spans="1:7">
      <c r="A329" s="3249" t="s">
        <v>307</v>
      </c>
      <c r="B329" s="3238" t="s">
        <v>2851</v>
      </c>
      <c r="C329" s="3239">
        <v>0.15</v>
      </c>
      <c r="D329" s="3239">
        <v>0.15</v>
      </c>
      <c r="E329" s="3239">
        <v>0.15</v>
      </c>
      <c r="F329" s="3239">
        <v>0.15</v>
      </c>
      <c r="G329" s="3240">
        <v>0.15</v>
      </c>
    </row>
    <row r="330" spans="1:7">
      <c r="A330" s="3249" t="s">
        <v>307</v>
      </c>
      <c r="B330" s="3238" t="s">
        <v>2855</v>
      </c>
      <c r="C330" s="3239">
        <v>0.15</v>
      </c>
      <c r="D330" s="3239">
        <v>0.15</v>
      </c>
      <c r="E330" s="3239">
        <v>0.15</v>
      </c>
      <c r="F330" s="3239">
        <v>0.15</v>
      </c>
      <c r="G330" s="3240">
        <v>0.15</v>
      </c>
    </row>
    <row r="331" spans="1:7">
      <c r="A331" s="3249" t="s">
        <v>307</v>
      </c>
      <c r="B331" s="3238" t="s">
        <v>161</v>
      </c>
      <c r="C331" s="3239">
        <v>0.15</v>
      </c>
      <c r="D331" s="3239">
        <v>0.15</v>
      </c>
      <c r="E331" s="3239">
        <v>0.15</v>
      </c>
      <c r="F331" s="3239">
        <v>0.15</v>
      </c>
      <c r="G331" s="3240">
        <v>0.15</v>
      </c>
    </row>
    <row r="332" spans="1:7">
      <c r="A332" s="3249" t="s">
        <v>307</v>
      </c>
      <c r="B332" s="3238" t="s">
        <v>2863</v>
      </c>
      <c r="C332" s="3239">
        <v>0.15</v>
      </c>
      <c r="D332" s="3239">
        <v>0.15</v>
      </c>
      <c r="E332" s="3239">
        <v>0.15</v>
      </c>
      <c r="F332" s="3239">
        <v>0.15</v>
      </c>
      <c r="G332" s="3240">
        <v>0.15</v>
      </c>
    </row>
    <row r="333" spans="1:7">
      <c r="A333" s="3249" t="s">
        <v>307</v>
      </c>
      <c r="B333" s="3238" t="s">
        <v>2867</v>
      </c>
      <c r="C333" s="3239">
        <v>0.14899999999999999</v>
      </c>
      <c r="D333" s="3239">
        <v>0.14899999999999999</v>
      </c>
      <c r="E333" s="3239">
        <v>0.15</v>
      </c>
      <c r="F333" s="3239">
        <v>0.11600000000000001</v>
      </c>
      <c r="G333" s="3240">
        <v>0.15</v>
      </c>
    </row>
    <row r="334" spans="1:7">
      <c r="A334" s="3249" t="s">
        <v>307</v>
      </c>
      <c r="B334" s="3238" t="s">
        <v>183</v>
      </c>
      <c r="C334" s="3239">
        <v>0.15</v>
      </c>
      <c r="D334" s="3239">
        <v>0.15</v>
      </c>
      <c r="E334" s="3239">
        <v>0.15</v>
      </c>
      <c r="F334" s="3239">
        <v>0.13</v>
      </c>
      <c r="G334" s="3240">
        <v>0.15</v>
      </c>
    </row>
    <row r="335" spans="1:7">
      <c r="A335" s="3249" t="s">
        <v>307</v>
      </c>
      <c r="B335" s="3238" t="s">
        <v>193</v>
      </c>
      <c r="C335" s="3239">
        <v>0.15</v>
      </c>
      <c r="D335" s="3239">
        <v>0.15</v>
      </c>
      <c r="E335" s="3239">
        <v>0.15</v>
      </c>
      <c r="F335" s="3239">
        <v>0.14399999999999999</v>
      </c>
      <c r="G335" s="3240">
        <v>0.15</v>
      </c>
    </row>
    <row r="336" spans="1:7">
      <c r="A336" s="3249" t="s">
        <v>307</v>
      </c>
      <c r="B336" s="3238" t="s">
        <v>2873</v>
      </c>
      <c r="C336" s="3239">
        <v>0.15</v>
      </c>
      <c r="D336" s="3239">
        <v>0.15</v>
      </c>
      <c r="E336" s="3239">
        <v>0.15</v>
      </c>
      <c r="F336" s="3239">
        <v>0.14199999999999999</v>
      </c>
      <c r="G336" s="3240">
        <v>0.15</v>
      </c>
    </row>
    <row r="337" spans="1:7">
      <c r="A337" s="3249" t="s">
        <v>307</v>
      </c>
      <c r="B337" s="3238" t="s">
        <v>2878</v>
      </c>
      <c r="C337" s="3239">
        <v>0.15</v>
      </c>
      <c r="D337" s="3239">
        <v>0.15</v>
      </c>
      <c r="E337" s="3239">
        <v>0.15</v>
      </c>
      <c r="F337" s="3239">
        <v>0.14499999999999999</v>
      </c>
      <c r="G337" s="3240">
        <v>0.15</v>
      </c>
    </row>
    <row r="338" spans="1:7">
      <c r="A338" s="3249" t="s">
        <v>307</v>
      </c>
      <c r="B338" s="3238" t="s">
        <v>220</v>
      </c>
      <c r="C338" s="3239">
        <v>0.15</v>
      </c>
      <c r="D338" s="3239">
        <v>0.15</v>
      </c>
      <c r="E338" s="3239">
        <v>0.15</v>
      </c>
      <c r="F338" s="3239">
        <v>0.15</v>
      </c>
      <c r="G338" s="3240">
        <v>0.15</v>
      </c>
    </row>
    <row r="339" spans="1:7">
      <c r="A339" s="3249" t="s">
        <v>307</v>
      </c>
      <c r="B339" s="3238" t="s">
        <v>228</v>
      </c>
      <c r="C339" s="3239">
        <v>0.15</v>
      </c>
      <c r="D339" s="3239">
        <v>0.15</v>
      </c>
      <c r="E339" s="3239">
        <v>0.15</v>
      </c>
      <c r="F339" s="3239">
        <v>0.14699999999999999</v>
      </c>
      <c r="G339" s="3240">
        <v>0.15</v>
      </c>
    </row>
    <row r="340" spans="1:7">
      <c r="A340" s="3249" t="s">
        <v>307</v>
      </c>
      <c r="B340" s="3238" t="s">
        <v>2885</v>
      </c>
      <c r="C340" s="3239">
        <v>0.14599999999999999</v>
      </c>
      <c r="D340" s="3239">
        <v>0.14599999999999999</v>
      </c>
      <c r="E340" s="3239">
        <v>0.15</v>
      </c>
      <c r="F340" s="3239">
        <v>0.14099999999999999</v>
      </c>
      <c r="G340" s="3240">
        <v>0.14699999999999999</v>
      </c>
    </row>
    <row r="341" spans="1:7">
      <c r="A341" s="3249" t="s">
        <v>307</v>
      </c>
      <c r="B341" s="3238" t="s">
        <v>207</v>
      </c>
      <c r="C341" s="3239">
        <v>0.126</v>
      </c>
      <c r="D341" s="3239">
        <v>0.124</v>
      </c>
      <c r="E341" s="3239">
        <v>0.14099999999999999</v>
      </c>
      <c r="F341" s="3239">
        <v>0.14399999999999999</v>
      </c>
      <c r="G341" s="3240">
        <v>0.13</v>
      </c>
    </row>
    <row r="342" spans="1:7">
      <c r="A342" s="3249" t="s">
        <v>307</v>
      </c>
      <c r="B342" s="3238" t="s">
        <v>2890</v>
      </c>
      <c r="C342" s="3239">
        <v>0.15</v>
      </c>
      <c r="D342" s="3239">
        <v>0.15</v>
      </c>
      <c r="E342" s="3239">
        <v>0.15</v>
      </c>
      <c r="F342" s="3239">
        <v>0.14399999999999999</v>
      </c>
      <c r="G342" s="3240">
        <v>0.15</v>
      </c>
    </row>
    <row r="343" spans="1:7">
      <c r="A343" s="3249" t="s">
        <v>307</v>
      </c>
      <c r="B343" s="3238" t="s">
        <v>257</v>
      </c>
      <c r="C343" s="3239">
        <v>0.15</v>
      </c>
      <c r="D343" s="3239">
        <v>0.15</v>
      </c>
      <c r="E343" s="3239">
        <v>0.15</v>
      </c>
      <c r="F343" s="3239">
        <v>0.128</v>
      </c>
      <c r="G343" s="3240">
        <v>0.15</v>
      </c>
    </row>
    <row r="344" spans="1:7">
      <c r="A344" s="3249" t="s">
        <v>307</v>
      </c>
      <c r="B344" s="3238" t="s">
        <v>265</v>
      </c>
      <c r="C344" s="3239">
        <v>0.15</v>
      </c>
      <c r="D344" s="3239">
        <v>0.15</v>
      </c>
      <c r="E344" s="3239">
        <v>0.15</v>
      </c>
      <c r="F344" s="3239">
        <v>0.14799999999999999</v>
      </c>
      <c r="G344" s="3240">
        <v>0.15</v>
      </c>
    </row>
    <row r="345" spans="1:7">
      <c r="A345" s="3249" t="s">
        <v>307</v>
      </c>
      <c r="B345" s="3238" t="s">
        <v>2898</v>
      </c>
      <c r="C345" s="3239">
        <v>0.15</v>
      </c>
      <c r="D345" s="3239">
        <v>0.15</v>
      </c>
      <c r="E345" s="3239">
        <v>0.15</v>
      </c>
      <c r="F345" s="3239">
        <v>0.13800000000000001</v>
      </c>
      <c r="G345" s="3240">
        <v>0.15</v>
      </c>
    </row>
    <row r="346" spans="1:7">
      <c r="A346" s="3249" t="s">
        <v>307</v>
      </c>
      <c r="B346" s="3238" t="s">
        <v>2900</v>
      </c>
      <c r="C346" s="3239">
        <v>0.15</v>
      </c>
      <c r="D346" s="3239">
        <v>0.15</v>
      </c>
      <c r="E346" s="3239">
        <v>0.15</v>
      </c>
      <c r="F346" s="3239">
        <v>0.14399999999999999</v>
      </c>
      <c r="G346" s="3240">
        <v>0.15</v>
      </c>
    </row>
    <row r="347" spans="1:7">
      <c r="A347" s="3249" t="s">
        <v>307</v>
      </c>
      <c r="B347" s="3238" t="s">
        <v>243</v>
      </c>
      <c r="C347" s="3239">
        <v>0.15</v>
      </c>
      <c r="D347" s="3239">
        <v>0.15</v>
      </c>
      <c r="E347" s="3239">
        <v>0.15</v>
      </c>
      <c r="F347" s="3239">
        <v>0.14599999999999999</v>
      </c>
      <c r="G347" s="3240">
        <v>0.15</v>
      </c>
    </row>
    <row r="348" spans="1:7">
      <c r="A348" s="3249" t="s">
        <v>307</v>
      </c>
      <c r="B348" s="3238" t="s">
        <v>2907</v>
      </c>
      <c r="C348" s="3239">
        <v>0.15</v>
      </c>
      <c r="D348" s="3239">
        <v>0.15</v>
      </c>
      <c r="E348" s="3239">
        <v>0.15</v>
      </c>
      <c r="F348" s="3239">
        <v>0.14399999999999999</v>
      </c>
      <c r="G348" s="3240">
        <v>0.15</v>
      </c>
    </row>
    <row r="349" spans="1:7">
      <c r="A349" s="3249" t="s">
        <v>307</v>
      </c>
      <c r="B349" s="3238" t="s">
        <v>2912</v>
      </c>
      <c r="C349" s="3239">
        <v>0.15</v>
      </c>
      <c r="D349" s="3239">
        <v>0.15</v>
      </c>
      <c r="E349" s="3239">
        <v>0.15</v>
      </c>
      <c r="F349" s="3239">
        <v>0.15</v>
      </c>
      <c r="G349" s="3240">
        <v>0.15</v>
      </c>
    </row>
    <row r="350" spans="1:7">
      <c r="A350" s="3249" t="s">
        <v>307</v>
      </c>
      <c r="B350" s="3238" t="s">
        <v>2915</v>
      </c>
      <c r="C350" s="3239">
        <v>0.15</v>
      </c>
      <c r="D350" s="3239">
        <v>0.15</v>
      </c>
      <c r="E350" s="3239">
        <v>0.15</v>
      </c>
      <c r="F350" s="3239">
        <v>0.14699999999999999</v>
      </c>
      <c r="G350" s="3240">
        <v>0.15</v>
      </c>
    </row>
    <row r="351" spans="1:7">
      <c r="A351" s="3249" t="s">
        <v>307</v>
      </c>
      <c r="B351" s="3238" t="s">
        <v>2920</v>
      </c>
      <c r="C351" s="3239">
        <v>0.15</v>
      </c>
      <c r="D351" s="3239">
        <v>0.15</v>
      </c>
      <c r="E351" s="3239">
        <v>0.15</v>
      </c>
      <c r="F351" s="3239">
        <v>0.13</v>
      </c>
      <c r="G351" s="3240">
        <v>0.15</v>
      </c>
    </row>
    <row r="352" spans="1:7">
      <c r="A352" s="3249" t="s">
        <v>307</v>
      </c>
      <c r="B352" s="3238" t="s">
        <v>2925</v>
      </c>
      <c r="C352" s="3239">
        <v>0.15</v>
      </c>
      <c r="D352" s="3239">
        <v>0.15</v>
      </c>
      <c r="E352" s="3239">
        <v>0.15</v>
      </c>
      <c r="F352" s="3239">
        <v>0.14599999999999999</v>
      </c>
      <c r="G352" s="3240">
        <v>0.15</v>
      </c>
    </row>
    <row r="353" spans="1:7">
      <c r="A353" s="3249" t="s">
        <v>307</v>
      </c>
      <c r="B353" s="3238" t="s">
        <v>2932</v>
      </c>
      <c r="C353" s="3239">
        <v>0.15</v>
      </c>
      <c r="D353" s="3239">
        <v>0.15</v>
      </c>
      <c r="E353" s="3239">
        <v>0.15</v>
      </c>
      <c r="F353" s="3239">
        <v>0.14499999999999999</v>
      </c>
      <c r="G353" s="3240">
        <v>0.15</v>
      </c>
    </row>
    <row r="354" spans="1:7">
      <c r="A354" s="3249" t="s">
        <v>307</v>
      </c>
      <c r="B354" s="3238" t="s">
        <v>280</v>
      </c>
      <c r="C354" s="3239">
        <v>0.15</v>
      </c>
      <c r="D354" s="3239">
        <v>0.15</v>
      </c>
      <c r="E354" s="3239">
        <v>0.15</v>
      </c>
      <c r="F354" s="3239">
        <v>0.14099999999999999</v>
      </c>
      <c r="G354" s="3240">
        <v>0.15</v>
      </c>
    </row>
    <row r="355" spans="1:7">
      <c r="A355" s="3249" t="s">
        <v>307</v>
      </c>
      <c r="B355" s="3238" t="s">
        <v>2945</v>
      </c>
      <c r="C355" s="3239">
        <v>0.15</v>
      </c>
      <c r="D355" s="3239">
        <v>0.15</v>
      </c>
      <c r="E355" s="3239">
        <v>0.15</v>
      </c>
      <c r="F355" s="3239">
        <v>0.15</v>
      </c>
      <c r="G355" s="3240">
        <v>0.15</v>
      </c>
    </row>
    <row r="356" spans="1:7">
      <c r="A356" s="3249" t="s">
        <v>307</v>
      </c>
      <c r="B356" s="3238" t="s">
        <v>2952</v>
      </c>
      <c r="C356" s="3239">
        <v>0.15</v>
      </c>
      <c r="D356" s="3239">
        <v>0.15</v>
      </c>
      <c r="E356" s="3239">
        <v>0.15</v>
      </c>
      <c r="F356" s="3239">
        <v>0.15</v>
      </c>
      <c r="G356" s="3240">
        <v>0.15</v>
      </c>
    </row>
    <row r="357" spans="1:7" ht="14.25" thickBot="1">
      <c r="A357" s="3252" t="s">
        <v>307</v>
      </c>
      <c r="B357" s="3242" t="s">
        <v>2957</v>
      </c>
      <c r="C357" s="3243">
        <v>0.126</v>
      </c>
      <c r="D357" s="3243">
        <v>0.127</v>
      </c>
      <c r="E357" s="3243">
        <v>0.14299999999999999</v>
      </c>
      <c r="F357" s="3243">
        <v>0.125</v>
      </c>
      <c r="G357" s="3245">
        <v>0.129</v>
      </c>
    </row>
    <row r="358" spans="1:7">
      <c r="A358" s="3248" t="s">
        <v>2826</v>
      </c>
      <c r="B358" s="3234" t="s">
        <v>2840</v>
      </c>
      <c r="C358" s="3235">
        <v>0.15</v>
      </c>
      <c r="D358" s="3235">
        <v>0.15</v>
      </c>
      <c r="E358" s="3235">
        <v>0.15</v>
      </c>
      <c r="F358" s="3235">
        <v>0.15</v>
      </c>
      <c r="G358" s="3236">
        <v>0.15</v>
      </c>
    </row>
    <row r="359" spans="1:7">
      <c r="A359" s="3249" t="s">
        <v>2826</v>
      </c>
      <c r="B359" s="3238" t="s">
        <v>2846</v>
      </c>
      <c r="C359" s="3239">
        <v>0.1</v>
      </c>
      <c r="D359" s="3239">
        <v>0.1</v>
      </c>
      <c r="E359" s="3239">
        <v>0.1</v>
      </c>
      <c r="F359" s="3239">
        <v>0.1</v>
      </c>
      <c r="G359" s="3240">
        <v>0.1</v>
      </c>
    </row>
    <row r="360" spans="1:7">
      <c r="A360" s="3249" t="s">
        <v>2826</v>
      </c>
      <c r="B360" s="3238" t="s">
        <v>2852</v>
      </c>
      <c r="C360" s="3239">
        <v>0.15</v>
      </c>
      <c r="D360" s="3239">
        <v>0.15</v>
      </c>
      <c r="E360" s="3239">
        <v>0.15</v>
      </c>
      <c r="F360" s="3239">
        <v>0.14899999999999999</v>
      </c>
      <c r="G360" s="3240">
        <v>0.15</v>
      </c>
    </row>
    <row r="361" spans="1:7">
      <c r="A361" s="3249" t="s">
        <v>2826</v>
      </c>
      <c r="B361" s="3238" t="s">
        <v>153</v>
      </c>
      <c r="C361" s="3239">
        <v>0.15</v>
      </c>
      <c r="D361" s="3239">
        <v>0.15</v>
      </c>
      <c r="E361" s="3239">
        <v>0.15</v>
      </c>
      <c r="F361" s="3239">
        <v>0.115</v>
      </c>
      <c r="G361" s="3240">
        <v>0.15</v>
      </c>
    </row>
    <row r="362" spans="1:7">
      <c r="A362" s="3249" t="s">
        <v>2826</v>
      </c>
      <c r="B362" s="3238" t="s">
        <v>2859</v>
      </c>
      <c r="C362" s="3239">
        <v>0.15</v>
      </c>
      <c r="D362" s="3239">
        <v>0.15</v>
      </c>
      <c r="E362" s="3239">
        <v>0.15</v>
      </c>
      <c r="F362" s="3239">
        <v>0.106</v>
      </c>
      <c r="G362" s="3240">
        <v>0.15</v>
      </c>
    </row>
    <row r="363" spans="1:7">
      <c r="A363" s="3249" t="s">
        <v>2826</v>
      </c>
      <c r="B363" s="3238" t="s">
        <v>2864</v>
      </c>
      <c r="C363" s="3239">
        <v>0.15</v>
      </c>
      <c r="D363" s="3239">
        <v>0.15</v>
      </c>
      <c r="E363" s="3239">
        <v>0.15</v>
      </c>
      <c r="F363" s="3239">
        <v>0.14699999999999999</v>
      </c>
      <c r="G363" s="3240">
        <v>0.15</v>
      </c>
    </row>
    <row r="364" spans="1:7">
      <c r="A364" s="3249" t="s">
        <v>2826</v>
      </c>
      <c r="B364" s="3238" t="s">
        <v>2868</v>
      </c>
      <c r="C364" s="3239">
        <v>0.15</v>
      </c>
      <c r="D364" s="3239">
        <v>0.15</v>
      </c>
      <c r="E364" s="3239">
        <v>0.15</v>
      </c>
      <c r="F364" s="3239">
        <v>0.14799999999999999</v>
      </c>
      <c r="G364" s="3240">
        <v>0.15</v>
      </c>
    </row>
    <row r="365" spans="1:7">
      <c r="A365" s="3249" t="s">
        <v>2826</v>
      </c>
      <c r="B365" s="3238" t="s">
        <v>200</v>
      </c>
      <c r="C365" s="3239">
        <v>0.15</v>
      </c>
      <c r="D365" s="3239">
        <v>0.15</v>
      </c>
      <c r="E365" s="3239">
        <v>0.15</v>
      </c>
      <c r="F365" s="3239">
        <v>0.15</v>
      </c>
      <c r="G365" s="3240">
        <v>0.15</v>
      </c>
    </row>
    <row r="366" spans="1:7">
      <c r="A366" s="3249" t="s">
        <v>2826</v>
      </c>
      <c r="B366" s="3238" t="s">
        <v>2871</v>
      </c>
      <c r="C366" s="3239">
        <v>0.15</v>
      </c>
      <c r="D366" s="3239">
        <v>0.15</v>
      </c>
      <c r="E366" s="3239">
        <v>0.15</v>
      </c>
      <c r="F366" s="3239">
        <v>0.15</v>
      </c>
      <c r="G366" s="3240">
        <v>0.15</v>
      </c>
    </row>
    <row r="367" spans="1:7">
      <c r="A367" s="3249" t="s">
        <v>2826</v>
      </c>
      <c r="B367" s="3238" t="s">
        <v>2874</v>
      </c>
      <c r="C367" s="3239">
        <v>0.15</v>
      </c>
      <c r="D367" s="3239">
        <v>0.15</v>
      </c>
      <c r="E367" s="3239">
        <v>0.15</v>
      </c>
      <c r="F367" s="3239">
        <v>0.14699999999999999</v>
      </c>
      <c r="G367" s="3240">
        <v>0.15</v>
      </c>
    </row>
    <row r="368" spans="1:7">
      <c r="A368" s="3249" t="s">
        <v>2826</v>
      </c>
      <c r="B368" s="3238" t="s">
        <v>2879</v>
      </c>
      <c r="C368" s="3239">
        <v>0.15</v>
      </c>
      <c r="D368" s="3239">
        <v>0.15</v>
      </c>
      <c r="E368" s="3239">
        <v>0.15</v>
      </c>
      <c r="F368" s="3239">
        <v>0.13600000000000001</v>
      </c>
      <c r="G368" s="3240">
        <v>0.15</v>
      </c>
    </row>
    <row r="369" spans="1:7">
      <c r="A369" s="3249" t="s">
        <v>2826</v>
      </c>
      <c r="B369" s="3238" t="s">
        <v>214</v>
      </c>
      <c r="C369" s="3239">
        <v>0.15</v>
      </c>
      <c r="D369" s="3239">
        <v>0.15</v>
      </c>
      <c r="E369" s="3239">
        <v>0.15</v>
      </c>
      <c r="F369" s="3239">
        <v>0.14399999999999999</v>
      </c>
      <c r="G369" s="3240">
        <v>0.15</v>
      </c>
    </row>
    <row r="370" spans="1:7">
      <c r="A370" s="3249" t="s">
        <v>2826</v>
      </c>
      <c r="B370" s="3238" t="s">
        <v>221</v>
      </c>
      <c r="C370" s="3239">
        <v>0.15</v>
      </c>
      <c r="D370" s="3239">
        <v>0.15</v>
      </c>
      <c r="E370" s="3239">
        <v>0.15</v>
      </c>
      <c r="F370" s="3239">
        <v>0.14599999999999999</v>
      </c>
      <c r="G370" s="3240">
        <v>0.15</v>
      </c>
    </row>
    <row r="371" spans="1:7">
      <c r="A371" s="3249" t="s">
        <v>2826</v>
      </c>
      <c r="B371" s="3238" t="s">
        <v>229</v>
      </c>
      <c r="C371" s="3239">
        <v>0.15</v>
      </c>
      <c r="D371" s="3239">
        <v>0.15</v>
      </c>
      <c r="E371" s="3239">
        <v>0.15</v>
      </c>
      <c r="F371" s="3239">
        <v>0.12</v>
      </c>
      <c r="G371" s="3240">
        <v>0.15</v>
      </c>
    </row>
    <row r="372" spans="1:7">
      <c r="A372" s="3249" t="s">
        <v>2826</v>
      </c>
      <c r="B372" s="3238" t="s">
        <v>2887</v>
      </c>
      <c r="C372" s="3239">
        <v>0.15</v>
      </c>
      <c r="D372" s="3239">
        <v>0.15</v>
      </c>
      <c r="E372" s="3239">
        <v>0.15</v>
      </c>
      <c r="F372" s="3239">
        <v>0.14299999999999999</v>
      </c>
      <c r="G372" s="3240">
        <v>0.15</v>
      </c>
    </row>
    <row r="373" spans="1:7">
      <c r="A373" s="3249" t="s">
        <v>2826</v>
      </c>
      <c r="B373" s="3238" t="s">
        <v>258</v>
      </c>
      <c r="C373" s="3239">
        <v>0.15</v>
      </c>
      <c r="D373" s="3239">
        <v>0.15</v>
      </c>
      <c r="E373" s="3239">
        <v>0.15</v>
      </c>
      <c r="F373" s="3239">
        <v>0.14599999999999999</v>
      </c>
      <c r="G373" s="3240">
        <v>0.15</v>
      </c>
    </row>
    <row r="374" spans="1:7">
      <c r="A374" s="3249" t="s">
        <v>2826</v>
      </c>
      <c r="B374" s="3238" t="s">
        <v>266</v>
      </c>
      <c r="C374" s="3239">
        <v>0.15</v>
      </c>
      <c r="D374" s="3239">
        <v>0.15</v>
      </c>
      <c r="E374" s="3239">
        <v>0.15</v>
      </c>
      <c r="F374" s="3239">
        <v>0.14399999999999999</v>
      </c>
      <c r="G374" s="3240">
        <v>0.15</v>
      </c>
    </row>
    <row r="375" spans="1:7">
      <c r="A375" s="3249" t="s">
        <v>2826</v>
      </c>
      <c r="B375" s="3238" t="s">
        <v>2895</v>
      </c>
      <c r="C375" s="3239">
        <v>0.15</v>
      </c>
      <c r="D375" s="3239">
        <v>0.15</v>
      </c>
      <c r="E375" s="3239">
        <v>0.15</v>
      </c>
      <c r="F375" s="3239">
        <v>0.13</v>
      </c>
      <c r="G375" s="3240">
        <v>0.15</v>
      </c>
    </row>
    <row r="376" spans="1:7">
      <c r="A376" s="3249" t="s">
        <v>2826</v>
      </c>
      <c r="B376" s="3238" t="s">
        <v>277</v>
      </c>
      <c r="C376" s="3239">
        <v>0.15</v>
      </c>
      <c r="D376" s="3239">
        <v>0.15</v>
      </c>
      <c r="E376" s="3239">
        <v>0.15</v>
      </c>
      <c r="F376" s="3239">
        <v>0.14199999999999999</v>
      </c>
      <c r="G376" s="3240">
        <v>0.15</v>
      </c>
    </row>
    <row r="377" spans="1:7" ht="14.25" thickBot="1">
      <c r="A377" s="3252" t="s">
        <v>2826</v>
      </c>
      <c r="B377" s="3242" t="s">
        <v>2901</v>
      </c>
      <c r="C377" s="3243">
        <v>0.15</v>
      </c>
      <c r="D377" s="3243">
        <v>0.15</v>
      </c>
      <c r="E377" s="3243">
        <v>0.15</v>
      </c>
      <c r="F377" s="3243">
        <v>0.14000000000000001</v>
      </c>
      <c r="G377" s="3245">
        <v>0.15</v>
      </c>
    </row>
    <row r="378" spans="1:7">
      <c r="A378" s="3248" t="s">
        <v>2827</v>
      </c>
      <c r="B378" s="3234" t="s">
        <v>2841</v>
      </c>
      <c r="C378" s="3235">
        <v>0.15</v>
      </c>
      <c r="D378" s="3235">
        <v>0.15</v>
      </c>
      <c r="E378" s="3235">
        <v>0.15</v>
      </c>
      <c r="F378" s="3235">
        <v>0.107</v>
      </c>
      <c r="G378" s="3236">
        <v>0.15</v>
      </c>
    </row>
    <row r="379" spans="1:7">
      <c r="A379" s="3249" t="s">
        <v>2827</v>
      </c>
      <c r="B379" s="3238" t="s">
        <v>2847</v>
      </c>
      <c r="C379" s="3239">
        <v>0.15</v>
      </c>
      <c r="D379" s="3239">
        <v>0.15</v>
      </c>
      <c r="E379" s="3239">
        <v>0.15</v>
      </c>
      <c r="F379" s="3239">
        <v>0.115</v>
      </c>
      <c r="G379" s="3240">
        <v>0.14899999999999999</v>
      </c>
    </row>
    <row r="380" spans="1:7">
      <c r="A380" s="3249" t="s">
        <v>2827</v>
      </c>
      <c r="B380" s="3238" t="s">
        <v>2853</v>
      </c>
      <c r="C380" s="3239">
        <v>0.15</v>
      </c>
      <c r="D380" s="3239">
        <v>0.15</v>
      </c>
      <c r="E380" s="3239">
        <v>0.15</v>
      </c>
      <c r="F380" s="3239">
        <v>0.1</v>
      </c>
      <c r="G380" s="3240">
        <v>0.14799999999999999</v>
      </c>
    </row>
    <row r="381" spans="1:7">
      <c r="A381" s="3249" t="s">
        <v>2827</v>
      </c>
      <c r="B381" s="3238" t="s">
        <v>2856</v>
      </c>
      <c r="C381" s="3239">
        <v>0.15</v>
      </c>
      <c r="D381" s="3239">
        <v>0.15</v>
      </c>
      <c r="E381" s="3239">
        <v>0.15</v>
      </c>
      <c r="F381" s="3239">
        <v>0.126</v>
      </c>
      <c r="G381" s="3240">
        <v>0.15</v>
      </c>
    </row>
    <row r="382" spans="1:7">
      <c r="A382" s="3249" t="s">
        <v>2827</v>
      </c>
      <c r="B382" s="3238" t="s">
        <v>2860</v>
      </c>
      <c r="C382" s="3239">
        <v>0.15</v>
      </c>
      <c r="D382" s="3239">
        <v>0.15</v>
      </c>
      <c r="E382" s="3239">
        <v>0.15</v>
      </c>
      <c r="F382" s="3239">
        <v>0.15</v>
      </c>
      <c r="G382" s="3240">
        <v>0.15</v>
      </c>
    </row>
    <row r="383" spans="1:7">
      <c r="A383" s="3249" t="s">
        <v>2827</v>
      </c>
      <c r="B383" s="3238" t="s">
        <v>2865</v>
      </c>
      <c r="C383" s="3239">
        <v>0.15</v>
      </c>
      <c r="D383" s="3239">
        <v>0.15</v>
      </c>
      <c r="E383" s="3239">
        <v>0.15</v>
      </c>
      <c r="F383" s="3239">
        <v>0.14699999999999999</v>
      </c>
      <c r="G383" s="3240">
        <v>0.15</v>
      </c>
    </row>
    <row r="384" spans="1:7" ht="14.25" thickBot="1">
      <c r="A384" s="3259" t="s">
        <v>2827</v>
      </c>
      <c r="B384" s="3260" t="s">
        <v>2869</v>
      </c>
      <c r="C384" s="3261">
        <v>0.15</v>
      </c>
      <c r="D384" s="3261">
        <v>0.15</v>
      </c>
      <c r="E384" s="3261">
        <v>0.15</v>
      </c>
      <c r="F384" s="3261">
        <v>0.15</v>
      </c>
      <c r="G384" s="3262">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4"/>
  </cols>
  <sheetData>
    <row r="1" spans="1:6" ht="14.25">
      <c r="A1" s="3817" t="s">
        <v>3208</v>
      </c>
      <c r="B1" s="3817"/>
      <c r="C1" s="3817"/>
      <c r="D1" s="3817"/>
      <c r="E1" s="3817"/>
      <c r="F1" s="3818"/>
    </row>
    <row r="2" spans="1:6" ht="14.25">
      <c r="A2" s="3265" t="s">
        <v>3209</v>
      </c>
      <c r="B2" s="3266"/>
      <c r="C2" s="3266"/>
      <c r="D2" s="3266"/>
      <c r="E2" s="3266"/>
      <c r="F2" s="3266"/>
    </row>
    <row r="3" spans="1:6" ht="14.25">
      <c r="A3" s="3265" t="s">
        <v>3210</v>
      </c>
      <c r="B3" s="3266"/>
      <c r="C3" s="3266"/>
      <c r="D3" s="3266"/>
      <c r="E3" s="3266"/>
      <c r="F3" s="3267" t="s">
        <v>3211</v>
      </c>
    </row>
    <row r="4" spans="1:6">
      <c r="A4" s="3268" t="s">
        <v>672</v>
      </c>
      <c r="B4" s="3268" t="s">
        <v>673</v>
      </c>
      <c r="C4" s="3268" t="s">
        <v>21</v>
      </c>
      <c r="D4" s="3268" t="s">
        <v>674</v>
      </c>
      <c r="E4" s="3268" t="s">
        <v>3</v>
      </c>
      <c r="F4" s="3268" t="s">
        <v>3212</v>
      </c>
    </row>
    <row r="5" spans="1:6">
      <c r="A5" s="3269" t="s">
        <v>675</v>
      </c>
      <c r="B5" s="3268"/>
      <c r="C5" s="3268"/>
      <c r="D5" s="3268"/>
      <c r="E5" s="3268"/>
      <c r="F5" s="3270"/>
    </row>
    <row r="6" spans="1:6">
      <c r="A6" s="3269" t="s">
        <v>144</v>
      </c>
      <c r="B6" s="3271">
        <v>35380</v>
      </c>
      <c r="C6" s="3271">
        <v>35180</v>
      </c>
      <c r="D6" s="3271">
        <v>35030</v>
      </c>
      <c r="E6" s="3271">
        <v>13780</v>
      </c>
      <c r="F6" s="3271">
        <v>25980</v>
      </c>
    </row>
    <row r="7" spans="1:6">
      <c r="A7" s="3269" t="s">
        <v>184</v>
      </c>
      <c r="B7" s="3271">
        <v>29960</v>
      </c>
      <c r="C7" s="3271">
        <v>29800</v>
      </c>
      <c r="D7" s="3271">
        <v>29690</v>
      </c>
      <c r="E7" s="3271">
        <v>10100</v>
      </c>
      <c r="F7" s="3271">
        <v>21690</v>
      </c>
    </row>
    <row r="8" spans="1:6">
      <c r="A8" s="3269" t="s">
        <v>296</v>
      </c>
      <c r="B8" s="3271">
        <v>24480</v>
      </c>
      <c r="C8" s="3271">
        <v>24380</v>
      </c>
      <c r="D8" s="3271">
        <v>25590</v>
      </c>
      <c r="E8" s="3271">
        <v>7010</v>
      </c>
      <c r="F8" s="3271">
        <v>17060</v>
      </c>
    </row>
    <row r="9" spans="1:6">
      <c r="A9" s="3269" t="s">
        <v>110</v>
      </c>
      <c r="B9" s="3271">
        <v>19370</v>
      </c>
      <c r="C9" s="3271">
        <v>19290</v>
      </c>
      <c r="D9" s="3271">
        <v>21280</v>
      </c>
      <c r="E9" s="3271">
        <v>4910</v>
      </c>
      <c r="F9" s="3271">
        <v>13090</v>
      </c>
    </row>
    <row r="10" spans="1:6">
      <c r="A10" s="3269" t="s">
        <v>303</v>
      </c>
      <c r="B10" s="3271">
        <v>15050</v>
      </c>
      <c r="C10" s="3271">
        <v>14980</v>
      </c>
      <c r="D10" s="3271">
        <v>17300</v>
      </c>
      <c r="E10" s="3271">
        <v>3450</v>
      </c>
      <c r="F10" s="3271">
        <v>9900</v>
      </c>
    </row>
    <row r="11" spans="1:6">
      <c r="A11" s="3269" t="s">
        <v>29</v>
      </c>
      <c r="B11" s="3271">
        <v>11550</v>
      </c>
      <c r="C11" s="3271">
        <v>11490</v>
      </c>
      <c r="D11" s="3271">
        <v>13850</v>
      </c>
      <c r="E11" s="3271">
        <v>2400</v>
      </c>
      <c r="F11" s="3271">
        <v>7390</v>
      </c>
    </row>
    <row r="12" spans="1:6">
      <c r="A12" s="3269" t="s">
        <v>304</v>
      </c>
      <c r="B12" s="3271">
        <v>8630</v>
      </c>
      <c r="C12" s="3271">
        <v>8580</v>
      </c>
      <c r="D12" s="3271">
        <v>10740</v>
      </c>
      <c r="E12" s="3271">
        <v>1720</v>
      </c>
      <c r="F12" s="3271">
        <v>5420</v>
      </c>
    </row>
    <row r="13" spans="1:6">
      <c r="A13" s="3269" t="s">
        <v>305</v>
      </c>
      <c r="B13" s="3271">
        <v>6620</v>
      </c>
      <c r="C13" s="3271">
        <v>6580</v>
      </c>
      <c r="D13" s="3271">
        <v>7830</v>
      </c>
      <c r="E13" s="3271">
        <v>1260</v>
      </c>
      <c r="F13" s="3271">
        <v>4040</v>
      </c>
    </row>
    <row r="14" spans="1:6">
      <c r="A14" s="3269" t="s">
        <v>306</v>
      </c>
      <c r="B14" s="3271">
        <v>4900</v>
      </c>
      <c r="C14" s="3271">
        <v>4860</v>
      </c>
      <c r="D14" s="3271">
        <v>5540</v>
      </c>
      <c r="E14" s="3271">
        <v>950</v>
      </c>
      <c r="F14" s="3271">
        <v>2930</v>
      </c>
    </row>
    <row r="15" spans="1:6">
      <c r="A15" s="3269" t="s">
        <v>307</v>
      </c>
      <c r="B15" s="3271">
        <v>3380</v>
      </c>
      <c r="C15" s="3271">
        <v>3340</v>
      </c>
      <c r="D15" s="3271">
        <v>3630</v>
      </c>
      <c r="E15" s="3271">
        <v>730</v>
      </c>
      <c r="F15" s="3271">
        <v>1990</v>
      </c>
    </row>
    <row r="16" spans="1:6">
      <c r="A16" s="3269" t="s">
        <v>369</v>
      </c>
      <c r="B16" s="3271">
        <v>2230</v>
      </c>
      <c r="C16" s="3271">
        <v>2200</v>
      </c>
      <c r="D16" s="3271">
        <v>2180</v>
      </c>
      <c r="E16" s="3271">
        <v>570</v>
      </c>
      <c r="F16" s="3271">
        <v>1330</v>
      </c>
    </row>
    <row r="17" spans="1:6">
      <c r="A17" s="3269" t="s">
        <v>370</v>
      </c>
      <c r="B17" s="3271">
        <v>1390</v>
      </c>
      <c r="C17" s="3271">
        <v>1360</v>
      </c>
      <c r="D17" s="3271">
        <v>1340</v>
      </c>
      <c r="E17" s="3271">
        <v>450</v>
      </c>
      <c r="F17" s="3271">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5">
        <f>基准地价修正!G23</f>
        <v>45400</v>
      </c>
      <c r="B1" s="3184" t="s">
        <v>3346</v>
      </c>
      <c r="C1" s="3185"/>
      <c r="D1" s="3185"/>
      <c r="E1" s="3185"/>
      <c r="F1" s="3185"/>
      <c r="G1" s="3185"/>
      <c r="H1" s="3185"/>
      <c r="I1" s="3185"/>
      <c r="J1" s="3139"/>
      <c r="K1" s="3185" t="s">
        <v>454</v>
      </c>
      <c r="L1" s="3185"/>
      <c r="M1" s="3185"/>
      <c r="N1" s="3185"/>
      <c r="O1" s="3185"/>
      <c r="P1" s="3185"/>
      <c r="Q1" s="3139"/>
      <c r="R1" s="3819" t="s">
        <v>456</v>
      </c>
      <c r="S1" s="3820"/>
      <c r="T1" s="3820"/>
      <c r="U1" s="3820"/>
      <c r="V1" s="3820"/>
      <c r="W1" s="3820"/>
      <c r="X1" s="3139"/>
      <c r="Y1" s="3819" t="s">
        <v>457</v>
      </c>
      <c r="Z1" s="3820"/>
      <c r="AA1" s="3820"/>
      <c r="AB1" s="3820"/>
      <c r="AC1" s="3820"/>
      <c r="AD1" s="3820"/>
    </row>
    <row r="2" spans="1:30" s="3117" customFormat="1" ht="14.25" thickBot="1">
      <c r="B2" s="3118"/>
      <c r="C2" s="3119"/>
      <c r="D2" s="3120" t="s">
        <v>2786</v>
      </c>
      <c r="E2" s="3121" t="s">
        <v>2787</v>
      </c>
      <c r="F2" s="3121" t="s">
        <v>2788</v>
      </c>
      <c r="G2" s="3121" t="s">
        <v>2789</v>
      </c>
      <c r="H2" s="3121" t="s">
        <v>2790</v>
      </c>
      <c r="I2" s="3121" t="s">
        <v>2607</v>
      </c>
      <c r="J2" s="3122"/>
      <c r="K2" s="3120" t="s">
        <v>2786</v>
      </c>
      <c r="L2" s="3121" t="s">
        <v>2787</v>
      </c>
      <c r="M2" s="3121" t="s">
        <v>2788</v>
      </c>
      <c r="N2" s="3121" t="s">
        <v>2789</v>
      </c>
      <c r="O2" s="3121" t="s">
        <v>2791</v>
      </c>
      <c r="P2" s="3121" t="s">
        <v>2607</v>
      </c>
      <c r="Q2" s="3122"/>
      <c r="R2" s="3120" t="s">
        <v>2786</v>
      </c>
      <c r="S2" s="3121" t="s">
        <v>2787</v>
      </c>
      <c r="T2" s="3121" t="s">
        <v>2788</v>
      </c>
      <c r="U2" s="3121" t="s">
        <v>2792</v>
      </c>
      <c r="V2" s="3121" t="s">
        <v>2793</v>
      </c>
      <c r="W2" s="3121" t="s">
        <v>2607</v>
      </c>
      <c r="X2" s="3122"/>
      <c r="Y2" s="3120" t="s">
        <v>2786</v>
      </c>
      <c r="Z2" s="3121" t="s">
        <v>2787</v>
      </c>
      <c r="AA2" s="3121" t="s">
        <v>2788</v>
      </c>
      <c r="AB2" s="3121" t="s">
        <v>2794</v>
      </c>
      <c r="AC2" s="3121" t="s">
        <v>2793</v>
      </c>
      <c r="AD2" s="3121" t="s">
        <v>2607</v>
      </c>
    </row>
    <row r="3" spans="1:30" s="3135" customFormat="1" ht="12.75">
      <c r="A3" s="3123" t="s">
        <v>2795</v>
      </c>
      <c r="B3" s="3124"/>
      <c r="C3" s="3125"/>
      <c r="D3" s="3125">
        <f>ROUND(AVERAGEIF(D4:D18,"&lt;&gt;0"),2)</f>
        <v>0.73</v>
      </c>
      <c r="E3" s="3125">
        <f t="shared" ref="E3:H3" si="0">ROUND(AVERAGEIF(E4:E18,"&lt;&gt;0"),2)</f>
        <v>0.4</v>
      </c>
      <c r="F3" s="3125">
        <f t="shared" si="0"/>
        <v>0.2</v>
      </c>
      <c r="G3" s="3125">
        <f t="shared" si="0"/>
        <v>0.78</v>
      </c>
      <c r="H3" s="3125">
        <f t="shared" si="0"/>
        <v>0.63</v>
      </c>
      <c r="I3" s="3125">
        <f>F3</f>
        <v>0.2</v>
      </c>
      <c r="J3" s="3126"/>
      <c r="K3" s="3127">
        <f>ROUND(AVERAGEIF(K4:K18,"&lt;&gt;0"),4)</f>
        <v>7.3000000000000001E-3</v>
      </c>
      <c r="L3" s="3128">
        <f t="shared" ref="L3:O3" si="1">ROUND(AVERAGEIF(L4:L18,"&lt;&gt;0"),4)</f>
        <v>4.0000000000000001E-3</v>
      </c>
      <c r="M3" s="3128">
        <f t="shared" si="1"/>
        <v>2E-3</v>
      </c>
      <c r="N3" s="3128">
        <f t="shared" si="1"/>
        <v>7.7999999999999996E-3</v>
      </c>
      <c r="O3" s="3128">
        <f t="shared" si="1"/>
        <v>6.3E-3</v>
      </c>
      <c r="P3" s="3128">
        <f>M3</f>
        <v>2E-3</v>
      </c>
      <c r="Q3" s="3126"/>
      <c r="R3" s="3129">
        <f>ROUND(SUMPRODUCT(PRODUCT(1+K4:K18)),4)</f>
        <v>1.0908</v>
      </c>
      <c r="S3" s="3130">
        <f t="shared" ref="S3:V3" si="2">ROUND(SUMPRODUCT(PRODUCT(1+L4:L18)),4)</f>
        <v>1.0488</v>
      </c>
      <c r="T3" s="3130">
        <f t="shared" si="2"/>
        <v>1.024</v>
      </c>
      <c r="U3" s="3130">
        <f t="shared" si="2"/>
        <v>1.0980000000000001</v>
      </c>
      <c r="V3" s="3130">
        <f t="shared" si="2"/>
        <v>1.0779000000000001</v>
      </c>
      <c r="W3" s="3129">
        <f>T3</f>
        <v>1.024</v>
      </c>
      <c r="X3" s="3126"/>
      <c r="Y3" s="3131">
        <f>ROUND(AVERAGEIF(Y5:Y18,"&lt;&gt;0"),4)</f>
        <v>8.6999999999999994E-3</v>
      </c>
      <c r="Z3" s="3132">
        <f t="shared" ref="Z3:AC3" si="3">ROUND(AVERAGEIF(Z5:Z18,"&lt;&gt;0"),4)</f>
        <v>3.5000000000000001E-3</v>
      </c>
      <c r="AA3" s="3133">
        <f t="shared" si="3"/>
        <v>8.9999999999999998E-4</v>
      </c>
      <c r="AB3" s="3131">
        <f t="shared" si="3"/>
        <v>9.4999999999999998E-3</v>
      </c>
      <c r="AC3" s="3134">
        <f t="shared" si="3"/>
        <v>6.1000000000000004E-3</v>
      </c>
      <c r="AD3" s="3131">
        <f>AA3</f>
        <v>8.9999999999999998E-4</v>
      </c>
    </row>
    <row r="4" spans="1:30" s="3136" customFormat="1" ht="12.75">
      <c r="B4" s="3137"/>
      <c r="C4" s="3138"/>
      <c r="D4" s="3138"/>
      <c r="E4" s="3138"/>
      <c r="F4" s="3138"/>
      <c r="G4" s="3138"/>
      <c r="H4" s="3138"/>
      <c r="I4" s="3138"/>
      <c r="J4" s="3139"/>
      <c r="K4" s="3140"/>
      <c r="L4" s="3141"/>
      <c r="M4" s="3141"/>
      <c r="N4" s="3141"/>
      <c r="O4" s="3141"/>
      <c r="P4" s="3141"/>
      <c r="Q4" s="3139"/>
      <c r="R4" s="3142"/>
      <c r="S4" s="3143"/>
      <c r="T4" s="3144"/>
      <c r="U4" s="3142"/>
      <c r="V4" s="3145"/>
      <c r="W4" s="3142"/>
      <c r="X4" s="3139"/>
      <c r="Y4" s="3146"/>
      <c r="Z4" s="3147"/>
      <c r="AA4" s="3148"/>
      <c r="AB4" s="3146"/>
      <c r="AC4" s="3149"/>
      <c r="AD4" s="3146"/>
    </row>
    <row r="5" spans="1:30" s="3159" customFormat="1" ht="12.75">
      <c r="A5" s="2204" t="s">
        <v>3349</v>
      </c>
      <c r="B5" s="3151">
        <v>2024</v>
      </c>
      <c r="C5" s="3152">
        <v>2</v>
      </c>
      <c r="D5" s="3153">
        <v>0</v>
      </c>
      <c r="E5" s="3153">
        <v>0</v>
      </c>
      <c r="F5" s="3153">
        <v>0</v>
      </c>
      <c r="G5" s="3153">
        <v>0</v>
      </c>
      <c r="H5" s="3153">
        <v>0</v>
      </c>
      <c r="I5" s="3154">
        <f t="shared" ref="I5:I18" si="4">F5</f>
        <v>0</v>
      </c>
      <c r="J5" s="3155"/>
      <c r="K5" s="3156">
        <f t="shared" ref="K5:O18" si="5">D5/100</f>
        <v>0</v>
      </c>
      <c r="L5" s="3146">
        <f t="shared" si="5"/>
        <v>0</v>
      </c>
      <c r="M5" s="3146">
        <f t="shared" si="5"/>
        <v>0</v>
      </c>
      <c r="N5" s="3146">
        <f t="shared" si="5"/>
        <v>0</v>
      </c>
      <c r="O5" s="3146">
        <f t="shared" si="5"/>
        <v>0</v>
      </c>
      <c r="P5" s="3146">
        <f>M5</f>
        <v>0</v>
      </c>
      <c r="Q5" s="3155"/>
      <c r="R5" s="3157">
        <f>ROUND(IF(项目基本情况!$B$8="出让",SUMPRODUCT(PRODUCT(1+K5:$K$18)),SUMPRODUCT(PRODUCT(1+K5:$K$17))),4)</f>
        <v>1.0804</v>
      </c>
      <c r="S5" s="3157">
        <f>ROUND(IF(项目基本情况!$B$8="出让",SUMPRODUCT(PRODUCT(1+L5:$L$18)),SUMPRODUCT(PRODUCT(1+L5:$L$17))),4)</f>
        <v>1.0471999999999999</v>
      </c>
      <c r="T5" s="3157">
        <f>ROUND(IF(项目基本情况!$B$8="出让",SUMPRODUCT(PRODUCT(1+M5:$M$18)),SUMPRODUCT(PRODUCT(1+M5:$M$17))),4)</f>
        <v>1.0266</v>
      </c>
      <c r="U5" s="3157">
        <f>ROUND(IF(项目基本情况!$B$8="出让",SUMPRODUCT(PRODUCT(1+N5:$N$18)),SUMPRODUCT(PRODUCT(1+N5:$N$17))),4)</f>
        <v>1.0859000000000001</v>
      </c>
      <c r="V5" s="3157">
        <f>ROUND(IF(项目基本情况!$B$8="出让",SUMPRODUCT(PRODUCT(1+O5:$O$18)),SUMPRODUCT(PRODUCT(1+O5:$O$17))),4)</f>
        <v>1.0741000000000001</v>
      </c>
      <c r="W5" s="3157">
        <f>T5</f>
        <v>1.0266</v>
      </c>
      <c r="X5" s="3155"/>
      <c r="Y5" s="3158">
        <f>IF(D5=0,0,ROUND(AVERAGE(D5:D18)/100,4))</f>
        <v>0</v>
      </c>
      <c r="Z5" s="3158">
        <f t="shared" ref="Z5:AC5" si="6">IF(E5=0,0,ROUND(AVERAGE(E5:E18)/100,4))</f>
        <v>0</v>
      </c>
      <c r="AA5" s="3158">
        <f t="shared" si="6"/>
        <v>0</v>
      </c>
      <c r="AB5" s="3158">
        <f t="shared" si="6"/>
        <v>0</v>
      </c>
      <c r="AC5" s="3158">
        <f t="shared" si="6"/>
        <v>0</v>
      </c>
      <c r="AD5" s="3158">
        <f t="shared" ref="AD5:AD17" si="7">AA5</f>
        <v>0</v>
      </c>
    </row>
    <row r="6" spans="1:30" s="3159" customFormat="1" ht="12.75">
      <c r="A6" s="2204" t="s">
        <v>3350</v>
      </c>
      <c r="B6" s="3151">
        <v>2024</v>
      </c>
      <c r="C6" s="3152">
        <v>1</v>
      </c>
      <c r="D6" s="3153">
        <v>0</v>
      </c>
      <c r="E6" s="3153">
        <v>0</v>
      </c>
      <c r="F6" s="3153">
        <v>0</v>
      </c>
      <c r="G6" s="3153">
        <v>0</v>
      </c>
      <c r="H6" s="3170">
        <v>0</v>
      </c>
      <c r="I6" s="3154">
        <v>0</v>
      </c>
      <c r="J6" s="3155"/>
      <c r="K6" s="3156">
        <f t="shared" ref="K6" si="8">D6/100</f>
        <v>0</v>
      </c>
      <c r="L6" s="3146">
        <f t="shared" ref="L6" si="9">E6/100</f>
        <v>0</v>
      </c>
      <c r="M6" s="3146">
        <f t="shared" ref="M6" si="10">F6/100</f>
        <v>0</v>
      </c>
      <c r="N6" s="3146">
        <f t="shared" ref="N6" si="11">G6/100</f>
        <v>0</v>
      </c>
      <c r="O6" s="3146">
        <f t="shared" ref="O6" si="12">H6/100</f>
        <v>0</v>
      </c>
      <c r="P6" s="3146">
        <f t="shared" ref="P6" si="13">M6</f>
        <v>0</v>
      </c>
      <c r="Q6" s="3155"/>
      <c r="R6" s="3157">
        <f>ROUND(IF(项目基本情况!$B$8="出让",SUMPRODUCT(PRODUCT(1+K6:$K$18)),SUMPRODUCT(PRODUCT(1+K6:$K$17))),4)</f>
        <v>1.0804</v>
      </c>
      <c r="S6" s="3157">
        <f>ROUND(IF(项目基本情况!$B$8="出让",SUMPRODUCT(PRODUCT(1+L6:$L$18)),SUMPRODUCT(PRODUCT(1+L6:$L$17))),4)</f>
        <v>1.0471999999999999</v>
      </c>
      <c r="T6" s="3157">
        <f>ROUND(IF(项目基本情况!$B$8="出让",SUMPRODUCT(PRODUCT(1+M6:$M$18)),SUMPRODUCT(PRODUCT(1+M6:$M$17))),4)</f>
        <v>1.0266</v>
      </c>
      <c r="U6" s="3157">
        <f>ROUND(IF(项目基本情况!$B$8="出让",SUMPRODUCT(PRODUCT(1+N6:$N$18)),SUMPRODUCT(PRODUCT(1+N6:$N$17))),4)</f>
        <v>1.0859000000000001</v>
      </c>
      <c r="V6" s="3157">
        <f>ROUND(IF(项目基本情况!$B$8="出让",SUMPRODUCT(PRODUCT(1+O6:$O$18)),SUMPRODUCT(PRODUCT(1+O6:$O$17))),4)</f>
        <v>1.0741000000000001</v>
      </c>
      <c r="W6" s="3157">
        <f t="shared" ref="W6" si="14">T6</f>
        <v>1.0266</v>
      </c>
      <c r="X6" s="3155"/>
      <c r="Y6" s="3158"/>
      <c r="Z6" s="3158"/>
      <c r="AA6" s="3158"/>
      <c r="AB6" s="3158"/>
      <c r="AC6" s="3158"/>
      <c r="AD6" s="3158"/>
    </row>
    <row r="7" spans="1:30" s="3169" customFormat="1" ht="12.75">
      <c r="A7" s="3160" t="s">
        <v>3352</v>
      </c>
      <c r="B7" s="3161">
        <v>2023</v>
      </c>
      <c r="C7" s="3162">
        <v>4</v>
      </c>
      <c r="D7" s="3163">
        <v>0.19</v>
      </c>
      <c r="E7" s="3163">
        <v>0.24</v>
      </c>
      <c r="F7" s="3163">
        <v>-0.16</v>
      </c>
      <c r="G7" s="3163">
        <v>0.17</v>
      </c>
      <c r="H7" s="3164">
        <v>0.61</v>
      </c>
      <c r="I7" s="3165">
        <f>F7</f>
        <v>-0.16</v>
      </c>
      <c r="J7" s="3166"/>
      <c r="K7" s="3167">
        <f t="shared" si="5"/>
        <v>1.9E-3</v>
      </c>
      <c r="L7" s="3168">
        <f t="shared" si="5"/>
        <v>2.3999999999999998E-3</v>
      </c>
      <c r="M7" s="3168">
        <f t="shared" si="5"/>
        <v>-1.6000000000000001E-3</v>
      </c>
      <c r="N7" s="3168">
        <f t="shared" si="5"/>
        <v>1.7000000000000001E-3</v>
      </c>
      <c r="O7" s="3168">
        <f t="shared" si="5"/>
        <v>6.0999999999999995E-3</v>
      </c>
      <c r="P7" s="3168">
        <f t="shared" ref="P7" si="15">M7</f>
        <v>-1.6000000000000001E-3</v>
      </c>
      <c r="Q7" s="3166"/>
      <c r="R7" s="3166">
        <f>ROUND(IF(项目基本情况!$B$8="出让",SUMPRODUCT(PRODUCT(1+K7:$K$18)),SUMPRODUCT(PRODUCT(1+K7:$K$17))),4)</f>
        <v>1.0804</v>
      </c>
      <c r="S7" s="3166">
        <f>ROUND(IF(项目基本情况!$B$8="出让",SUMPRODUCT(PRODUCT(1+L7:$L$18)),SUMPRODUCT(PRODUCT(1+L7:$L$17))),4)</f>
        <v>1.0471999999999999</v>
      </c>
      <c r="T7" s="3166">
        <f>ROUND(IF(项目基本情况!$B$8="出让",SUMPRODUCT(PRODUCT(1+M7:$M$18)),SUMPRODUCT(PRODUCT(1+M7:$M$17))),4)</f>
        <v>1.0266</v>
      </c>
      <c r="U7" s="3166">
        <f>ROUND(IF(项目基本情况!$B$8="出让",SUMPRODUCT(PRODUCT(1+N7:$N$18)),SUMPRODUCT(PRODUCT(1+N7:$N$17))),4)</f>
        <v>1.0859000000000001</v>
      </c>
      <c r="V7" s="3166">
        <f>ROUND(IF(项目基本情况!$B$8="出让",SUMPRODUCT(PRODUCT(1+O7:$O$18)),SUMPRODUCT(PRODUCT(1+O7:$O$17))),4)</f>
        <v>1.0741000000000001</v>
      </c>
      <c r="W7" s="3166">
        <f t="shared" ref="W7" si="16">T7</f>
        <v>1.0266</v>
      </c>
      <c r="X7" s="3166"/>
      <c r="Y7" s="3168"/>
      <c r="Z7" s="3168"/>
      <c r="AA7" s="3168"/>
      <c r="AB7" s="3168"/>
      <c r="AC7" s="3168"/>
      <c r="AD7" s="3168"/>
    </row>
    <row r="8" spans="1:30" s="3159" customFormat="1" ht="12.75">
      <c r="A8" s="3150" t="s">
        <v>3353</v>
      </c>
      <c r="B8" s="3151">
        <v>2023</v>
      </c>
      <c r="C8" s="3152">
        <v>3</v>
      </c>
      <c r="D8" s="3153">
        <v>0.25</v>
      </c>
      <c r="E8" s="3153">
        <v>0.5</v>
      </c>
      <c r="F8" s="3153">
        <v>0.31</v>
      </c>
      <c r="G8" s="3153">
        <v>0.21</v>
      </c>
      <c r="H8" s="3170">
        <v>0.43</v>
      </c>
      <c r="I8" s="3154">
        <f t="shared" si="4"/>
        <v>0.31</v>
      </c>
      <c r="J8" s="3155"/>
      <c r="K8" s="3156">
        <f t="shared" ref="K8:K10" si="17">D8/100</f>
        <v>2.5000000000000001E-3</v>
      </c>
      <c r="L8" s="3146">
        <f t="shared" ref="L8:L10" si="18">E8/100</f>
        <v>5.0000000000000001E-3</v>
      </c>
      <c r="M8" s="3146">
        <f t="shared" ref="M8:M10" si="19">F8/100</f>
        <v>3.0999999999999999E-3</v>
      </c>
      <c r="N8" s="3146">
        <f t="shared" ref="N8:N10" si="20">G8/100</f>
        <v>2.0999999999999999E-3</v>
      </c>
      <c r="O8" s="3146">
        <f t="shared" ref="O8:O10" si="21">H8/100</f>
        <v>4.3E-3</v>
      </c>
      <c r="P8" s="3146">
        <f t="shared" ref="P8:P10" si="22">M8</f>
        <v>3.0999999999999999E-3</v>
      </c>
      <c r="Q8" s="3155"/>
      <c r="R8" s="3157">
        <f>ROUND(IF(项目基本情况!$B$8="出让",SUMPRODUCT(PRODUCT(1+K8:$K$18)),SUMPRODUCT(PRODUCT(1+K8:$K$17))),4)</f>
        <v>1.0783</v>
      </c>
      <c r="S8" s="3157">
        <f>ROUND(IF(项目基本情况!$B$8="出让",SUMPRODUCT(PRODUCT(1+L8:$L$18)),SUMPRODUCT(PRODUCT(1+L8:$L$17))),4)</f>
        <v>1.0447</v>
      </c>
      <c r="T8" s="3157">
        <f>ROUND(IF(项目基本情况!$B$8="出让",SUMPRODUCT(PRODUCT(1+M8:$M$18)),SUMPRODUCT(PRODUCT(1+M8:$M$17))),4)</f>
        <v>1.0282</v>
      </c>
      <c r="U8" s="3157">
        <f>ROUND(IF(项目基本情况!$B$8="出让",SUMPRODUCT(PRODUCT(1+N8:$N$18)),SUMPRODUCT(PRODUCT(1+N8:$N$17))),4)</f>
        <v>1.0841000000000001</v>
      </c>
      <c r="V8" s="3157">
        <f>ROUND(IF(项目基本情况!$B$8="出让",SUMPRODUCT(PRODUCT(1+O8:$O$18)),SUMPRODUCT(PRODUCT(1+O8:$O$17))),4)</f>
        <v>1.0674999999999999</v>
      </c>
      <c r="W8" s="3157">
        <f t="shared" ref="W8:W9" si="23">T8</f>
        <v>1.0282</v>
      </c>
      <c r="X8" s="3155"/>
      <c r="Y8" s="3158"/>
      <c r="Z8" s="3158"/>
      <c r="AA8" s="3158"/>
      <c r="AB8" s="3158"/>
      <c r="AC8" s="3158"/>
      <c r="AD8" s="3158"/>
    </row>
    <row r="9" spans="1:30" s="3159" customFormat="1" ht="12.75">
      <c r="A9" s="3150" t="s">
        <v>3345</v>
      </c>
      <c r="B9" s="3151">
        <v>2023</v>
      </c>
      <c r="C9" s="3152">
        <v>2</v>
      </c>
      <c r="D9" s="3153">
        <v>0.91</v>
      </c>
      <c r="E9" s="3153">
        <v>0.66</v>
      </c>
      <c r="F9" s="3153">
        <v>0.47</v>
      </c>
      <c r="G9" s="3153">
        <v>0.96</v>
      </c>
      <c r="H9" s="3170">
        <v>0.71</v>
      </c>
      <c r="I9" s="3154">
        <f t="shared" si="4"/>
        <v>0.47</v>
      </c>
      <c r="J9" s="3155"/>
      <c r="K9" s="3156">
        <f t="shared" si="17"/>
        <v>9.1000000000000004E-3</v>
      </c>
      <c r="L9" s="3146">
        <f t="shared" si="18"/>
        <v>6.6E-3</v>
      </c>
      <c r="M9" s="3146">
        <f t="shared" si="19"/>
        <v>4.6999999999999993E-3</v>
      </c>
      <c r="N9" s="3146">
        <f t="shared" si="20"/>
        <v>9.5999999999999992E-3</v>
      </c>
      <c r="O9" s="3146">
        <f t="shared" si="21"/>
        <v>7.0999999999999995E-3</v>
      </c>
      <c r="P9" s="3146">
        <f t="shared" si="22"/>
        <v>4.6999999999999993E-3</v>
      </c>
      <c r="Q9" s="3155"/>
      <c r="R9" s="3157">
        <f>ROUND(IF(项目基本情况!$B$8="出让",SUMPRODUCT(PRODUCT(1+K9:$K$18)),SUMPRODUCT(PRODUCT(1+K9:$K$17))),4)</f>
        <v>1.0755999999999999</v>
      </c>
      <c r="S9" s="3157">
        <f>ROUND(IF(项目基本情况!$B$8="出让",SUMPRODUCT(PRODUCT(1+L9:$L$18)),SUMPRODUCT(PRODUCT(1+L9:$L$17))),4)</f>
        <v>1.0395000000000001</v>
      </c>
      <c r="T9" s="3157">
        <f>ROUND(IF(项目基本情况!$B$8="出让",SUMPRODUCT(PRODUCT(1+M9:$M$18)),SUMPRODUCT(PRODUCT(1+M9:$M$17))),4)</f>
        <v>1.0250999999999999</v>
      </c>
      <c r="U9" s="3157">
        <f>ROUND(IF(项目基本情况!$B$8="出让",SUMPRODUCT(PRODUCT(1+N9:$N$18)),SUMPRODUCT(PRODUCT(1+N9:$N$17))),4)</f>
        <v>1.0818000000000001</v>
      </c>
      <c r="V9" s="3157">
        <f>ROUND(IF(项目基本情况!$B$8="出让",SUMPRODUCT(PRODUCT(1+O9:$O$18)),SUMPRODUCT(PRODUCT(1+O9:$O$17))),4)</f>
        <v>1.0629999999999999</v>
      </c>
      <c r="W9" s="3157">
        <f t="shared" si="23"/>
        <v>1.0250999999999999</v>
      </c>
      <c r="X9" s="3155"/>
      <c r="Y9" s="3158"/>
      <c r="Z9" s="3158"/>
      <c r="AA9" s="3158"/>
      <c r="AB9" s="3158"/>
      <c r="AC9" s="3158"/>
      <c r="AD9" s="3158"/>
    </row>
    <row r="10" spans="1:30" s="3159" customFormat="1" ht="12.75">
      <c r="A10" s="3150" t="s">
        <v>3344</v>
      </c>
      <c r="B10" s="3151">
        <v>2023</v>
      </c>
      <c r="C10" s="3152">
        <v>1</v>
      </c>
      <c r="D10" s="3153">
        <v>0.89</v>
      </c>
      <c r="E10" s="3153">
        <v>0.74</v>
      </c>
      <c r="F10" s="3153">
        <v>0.56999999999999995</v>
      </c>
      <c r="G10" s="3153">
        <v>0.92</v>
      </c>
      <c r="H10" s="3170">
        <v>0.5</v>
      </c>
      <c r="I10" s="3154">
        <f t="shared" si="4"/>
        <v>0.56999999999999995</v>
      </c>
      <c r="J10" s="3155"/>
      <c r="K10" s="3156">
        <f t="shared" si="17"/>
        <v>8.8999999999999999E-3</v>
      </c>
      <c r="L10" s="3146">
        <f t="shared" si="18"/>
        <v>7.4000000000000003E-3</v>
      </c>
      <c r="M10" s="3146">
        <f t="shared" si="19"/>
        <v>5.6999999999999993E-3</v>
      </c>
      <c r="N10" s="3146">
        <f t="shared" si="20"/>
        <v>9.1999999999999998E-3</v>
      </c>
      <c r="O10" s="3146">
        <f t="shared" si="21"/>
        <v>5.0000000000000001E-3</v>
      </c>
      <c r="P10" s="3146">
        <f t="shared" si="22"/>
        <v>5.6999999999999993E-3</v>
      </c>
      <c r="Q10" s="3155"/>
      <c r="R10" s="3157">
        <f>ROUND(IF(项目基本情况!$B$8="出让",SUMPRODUCT(PRODUCT(1+K10:$K$18)),SUMPRODUCT(PRODUCT(1+K10:$K$17))),4)</f>
        <v>1.0659000000000001</v>
      </c>
      <c r="S10" s="3157">
        <f>ROUND(IF(项目基本情况!$B$8="出让",SUMPRODUCT(PRODUCT(1+L10:$L$18)),SUMPRODUCT(PRODUCT(1+L10:$L$17))),4)</f>
        <v>1.0326</v>
      </c>
      <c r="T10" s="3157">
        <f>ROUND(IF(项目基本情况!$B$8="出让",SUMPRODUCT(PRODUCT(1+M10:$M$18)),SUMPRODUCT(PRODUCT(1+M10:$M$17))),4)</f>
        <v>1.0203</v>
      </c>
      <c r="U10" s="3157">
        <f>ROUND(IF(项目基本情况!$B$8="出让",SUMPRODUCT(PRODUCT(1+N10:$N$18)),SUMPRODUCT(PRODUCT(1+N10:$N$17))),4)</f>
        <v>1.0714999999999999</v>
      </c>
      <c r="V10" s="3157">
        <f>ROUND(IF(项目基本情况!$B$8="出让",SUMPRODUCT(PRODUCT(1+O10:$O$18)),SUMPRODUCT(PRODUCT(1+O10:$O$17))),4)</f>
        <v>1.0555000000000001</v>
      </c>
      <c r="W10" s="3157">
        <f t="shared" ref="W10:W17" si="24">T10</f>
        <v>1.0203</v>
      </c>
      <c r="X10" s="3155"/>
      <c r="Y10" s="3158"/>
      <c r="Z10" s="3158"/>
      <c r="AA10" s="3158"/>
      <c r="AB10" s="3158"/>
      <c r="AC10" s="3158"/>
      <c r="AD10" s="3158"/>
    </row>
    <row r="11" spans="1:30" s="3159" customFormat="1" ht="12.75">
      <c r="A11" s="3150" t="s">
        <v>3343</v>
      </c>
      <c r="B11" s="3151">
        <v>2022</v>
      </c>
      <c r="C11" s="3152">
        <v>4</v>
      </c>
      <c r="D11" s="3153">
        <v>0.62</v>
      </c>
      <c r="E11" s="3153">
        <v>0.2</v>
      </c>
      <c r="F11" s="3153">
        <v>0.11</v>
      </c>
      <c r="G11" s="3153">
        <v>0.69</v>
      </c>
      <c r="H11" s="3170">
        <v>0.53</v>
      </c>
      <c r="I11" s="3154">
        <f t="shared" si="4"/>
        <v>0.11</v>
      </c>
      <c r="J11" s="3155"/>
      <c r="K11" s="3156">
        <f t="shared" si="5"/>
        <v>6.1999999999999998E-3</v>
      </c>
      <c r="L11" s="3146">
        <f t="shared" si="5"/>
        <v>2E-3</v>
      </c>
      <c r="M11" s="3146">
        <f t="shared" si="5"/>
        <v>1.1000000000000001E-3</v>
      </c>
      <c r="N11" s="3146">
        <f t="shared" si="5"/>
        <v>6.8999999999999999E-3</v>
      </c>
      <c r="O11" s="3146">
        <f t="shared" si="5"/>
        <v>5.3E-3</v>
      </c>
      <c r="P11" s="3146">
        <f t="shared" ref="P11:P18" si="25">M11</f>
        <v>1.1000000000000001E-3</v>
      </c>
      <c r="Q11" s="3155"/>
      <c r="R11" s="3157">
        <f>ROUND(IF(项目基本情况!$B$8="出让",SUMPRODUCT(PRODUCT(1+K11:$K$18)),SUMPRODUCT(PRODUCT(1+K11:$K$17))),4)</f>
        <v>1.0565</v>
      </c>
      <c r="S11" s="3157">
        <f>ROUND(IF(项目基本情况!$B$8="出让",SUMPRODUCT(PRODUCT(1+L11:$L$18)),SUMPRODUCT(PRODUCT(1+L11:$L$17))),4)</f>
        <v>1.0250999999999999</v>
      </c>
      <c r="T11" s="3157">
        <f>ROUND(IF(项目基本情况!$B$8="出让",SUMPRODUCT(PRODUCT(1+M11:$M$18)),SUMPRODUCT(PRODUCT(1+M11:$M$17))),4)</f>
        <v>1.0145</v>
      </c>
      <c r="U11" s="3157">
        <f>ROUND(IF(项目基本情况!$B$8="出让",SUMPRODUCT(PRODUCT(1+N11:$N$18)),SUMPRODUCT(PRODUCT(1+N11:$N$17))),4)</f>
        <v>1.0618000000000001</v>
      </c>
      <c r="V11" s="3157">
        <f>ROUND(IF(项目基本情况!$B$8="出让",SUMPRODUCT(PRODUCT(1+O11:$O$18)),SUMPRODUCT(PRODUCT(1+O11:$O$17))),4)</f>
        <v>1.0502</v>
      </c>
      <c r="W11" s="3157">
        <f t="shared" si="24"/>
        <v>1.0145</v>
      </c>
      <c r="X11" s="3155"/>
      <c r="Y11" s="3158">
        <f>IF(D11=0,0,ROUND(AVERAGE(D11:D19)/100,4))</f>
        <v>8.0999999999999996E-3</v>
      </c>
      <c r="Z11" s="3158">
        <f t="shared" ref="Z11:AC11" si="26">IF(E11=0,0,ROUND(AVERAGE(E11:E18)/100,4))</f>
        <v>3.3E-3</v>
      </c>
      <c r="AA11" s="3158">
        <f t="shared" si="26"/>
        <v>1.5E-3</v>
      </c>
      <c r="AB11" s="3158">
        <f t="shared" si="26"/>
        <v>8.8999999999999999E-3</v>
      </c>
      <c r="AC11" s="3158">
        <f t="shared" si="26"/>
        <v>6.6E-3</v>
      </c>
      <c r="AD11" s="3158">
        <f t="shared" si="7"/>
        <v>1.5E-3</v>
      </c>
    </row>
    <row r="12" spans="1:30" s="3159" customFormat="1" ht="12.75">
      <c r="A12" s="3150" t="s">
        <v>3339</v>
      </c>
      <c r="B12" s="3151">
        <v>2022</v>
      </c>
      <c r="C12" s="3152">
        <v>3</v>
      </c>
      <c r="D12" s="3153">
        <v>0.66</v>
      </c>
      <c r="E12" s="3153">
        <v>0.32</v>
      </c>
      <c r="F12" s="3153">
        <v>0.23</v>
      </c>
      <c r="G12" s="3153">
        <v>0.72</v>
      </c>
      <c r="H12" s="3170">
        <v>0.63</v>
      </c>
      <c r="I12" s="3154">
        <f t="shared" si="4"/>
        <v>0.23</v>
      </c>
      <c r="J12" s="3155"/>
      <c r="K12" s="3156">
        <f t="shared" si="5"/>
        <v>6.6E-3</v>
      </c>
      <c r="L12" s="3146">
        <f t="shared" si="5"/>
        <v>3.2000000000000002E-3</v>
      </c>
      <c r="M12" s="3146">
        <f t="shared" si="5"/>
        <v>2.3E-3</v>
      </c>
      <c r="N12" s="3146">
        <f t="shared" si="5"/>
        <v>7.1999999999999998E-3</v>
      </c>
      <c r="O12" s="3146">
        <f t="shared" si="5"/>
        <v>6.3E-3</v>
      </c>
      <c r="P12" s="3146">
        <f t="shared" si="25"/>
        <v>2.3E-3</v>
      </c>
      <c r="Q12" s="3155"/>
      <c r="R12" s="3157">
        <f>ROUND(IF(项目基本情况!$B$8="出让",SUMPRODUCT(PRODUCT(1+K12:$K$18)),SUMPRODUCT(PRODUCT(1+K12:$K$17))),4)</f>
        <v>1.05</v>
      </c>
      <c r="S12" s="3157">
        <f>ROUND(IF(项目基本情况!$B$8="出让",SUMPRODUCT(PRODUCT(1+L12:$L$18)),SUMPRODUCT(PRODUCT(1+L12:$L$17))),4)</f>
        <v>1.0229999999999999</v>
      </c>
      <c r="T12" s="3157">
        <f>ROUND(IF(项目基本情况!$B$8="出让",SUMPRODUCT(PRODUCT(1+M12:$M$18)),SUMPRODUCT(PRODUCT(1+M12:$M$17))),4)</f>
        <v>1.0134000000000001</v>
      </c>
      <c r="U12" s="3157">
        <f>ROUND(IF(项目基本情况!$B$8="出让",SUMPRODUCT(PRODUCT(1+N12:$N$18)),SUMPRODUCT(PRODUCT(1+N12:$N$17))),4)</f>
        <v>1.0545</v>
      </c>
      <c r="V12" s="3157">
        <f>ROUND(IF(项目基本情况!$B$8="出让",SUMPRODUCT(PRODUCT(1+O12:$O$18)),SUMPRODUCT(PRODUCT(1+O12:$O$17))),4)</f>
        <v>1.0447</v>
      </c>
      <c r="W12" s="3157">
        <f t="shared" si="24"/>
        <v>1.0134000000000001</v>
      </c>
      <c r="X12" s="3155"/>
      <c r="Y12" s="3158">
        <f>IF(D12=0,0,ROUND(AVERAGE(D12:D18)/100,4))</f>
        <v>8.3999999999999995E-3</v>
      </c>
      <c r="Z12" s="3158">
        <f t="shared" ref="Z12:AC12" si="27">IF(E12=0,0,ROUND(AVERAGE(E12:E18)/100,4))</f>
        <v>3.5000000000000001E-3</v>
      </c>
      <c r="AA12" s="3158">
        <f t="shared" si="27"/>
        <v>1.5E-3</v>
      </c>
      <c r="AB12" s="3158">
        <f t="shared" si="27"/>
        <v>9.1999999999999998E-3</v>
      </c>
      <c r="AC12" s="3158">
        <f t="shared" si="27"/>
        <v>6.7999999999999996E-3</v>
      </c>
      <c r="AD12" s="3158">
        <f t="shared" si="7"/>
        <v>1.5E-3</v>
      </c>
    </row>
    <row r="13" spans="1:30" s="3159" customFormat="1" ht="12.75">
      <c r="A13" s="3150" t="s">
        <v>3330</v>
      </c>
      <c r="B13" s="3151">
        <v>2022</v>
      </c>
      <c r="C13" s="3152">
        <v>2</v>
      </c>
      <c r="D13" s="3153">
        <v>0.93</v>
      </c>
      <c r="E13" s="3153">
        <v>0.15</v>
      </c>
      <c r="F13" s="3153">
        <v>0.01</v>
      </c>
      <c r="G13" s="3153">
        <v>1.05</v>
      </c>
      <c r="H13" s="3170">
        <v>1.08</v>
      </c>
      <c r="I13" s="3154">
        <f t="shared" si="4"/>
        <v>0.01</v>
      </c>
      <c r="J13" s="3155"/>
      <c r="K13" s="3156">
        <f t="shared" si="5"/>
        <v>9.300000000000001E-3</v>
      </c>
      <c r="L13" s="3146">
        <f t="shared" si="5"/>
        <v>1.5E-3</v>
      </c>
      <c r="M13" s="3146">
        <f t="shared" si="5"/>
        <v>1E-4</v>
      </c>
      <c r="N13" s="3146">
        <f t="shared" si="5"/>
        <v>1.0500000000000001E-2</v>
      </c>
      <c r="O13" s="3146">
        <f t="shared" si="5"/>
        <v>1.0800000000000001E-2</v>
      </c>
      <c r="P13" s="3146">
        <f t="shared" si="25"/>
        <v>1E-4</v>
      </c>
      <c r="Q13" s="3155"/>
      <c r="R13" s="3157">
        <f>ROUND(IF(项目基本情况!$B$8="出让",SUMPRODUCT(PRODUCT(1+K13:$K$18)),SUMPRODUCT(PRODUCT(1+K13:$K$17))),4)</f>
        <v>1.0430999999999999</v>
      </c>
      <c r="S13" s="3157">
        <f>ROUND(IF(项目基本情况!$B$8="出让",SUMPRODUCT(PRODUCT(1+L13:$L$18)),SUMPRODUCT(PRODUCT(1+L13:$L$17))),4)</f>
        <v>1.0197000000000001</v>
      </c>
      <c r="T13" s="3157">
        <f>ROUND(IF(项目基本情况!$B$8="出让",SUMPRODUCT(PRODUCT(1+M13:$M$18)),SUMPRODUCT(PRODUCT(1+M13:$M$17))),4)</f>
        <v>1.0109999999999999</v>
      </c>
      <c r="U13" s="3157">
        <f>ROUND(IF(项目基本情况!$B$8="出让",SUMPRODUCT(PRODUCT(1+N13:$N$18)),SUMPRODUCT(PRODUCT(1+N13:$N$17))),4)</f>
        <v>1.0468999999999999</v>
      </c>
      <c r="V13" s="3157">
        <f>ROUND(IF(项目基本情况!$B$8="出让",SUMPRODUCT(PRODUCT(1+O13:$O$18)),SUMPRODUCT(PRODUCT(1+O13:$O$17))),4)</f>
        <v>1.0382</v>
      </c>
      <c r="W13" s="3157">
        <f t="shared" si="24"/>
        <v>1.0109999999999999</v>
      </c>
      <c r="X13" s="3155"/>
      <c r="Y13" s="3158">
        <f>IF(D13=0,0,ROUND(AVERAGE(D13:D18)/100,4))</f>
        <v>8.6999999999999994E-3</v>
      </c>
      <c r="Z13" s="3158">
        <f t="shared" ref="Z13:AC13" si="28">IF(E13=0,0,ROUND(AVERAGE(E13:E18)/100,4))</f>
        <v>3.5000000000000001E-3</v>
      </c>
      <c r="AA13" s="3158">
        <f t="shared" si="28"/>
        <v>1.4E-3</v>
      </c>
      <c r="AB13" s="3158">
        <f t="shared" si="28"/>
        <v>9.4999999999999998E-3</v>
      </c>
      <c r="AC13" s="3158">
        <f t="shared" si="28"/>
        <v>6.8999999999999999E-3</v>
      </c>
      <c r="AD13" s="3158">
        <f t="shared" si="7"/>
        <v>1.4E-3</v>
      </c>
    </row>
    <row r="14" spans="1:30" s="3159" customFormat="1" ht="12.75">
      <c r="A14" s="3150" t="s">
        <v>2796</v>
      </c>
      <c r="B14" s="3151">
        <v>2022</v>
      </c>
      <c r="C14" s="3152">
        <v>1</v>
      </c>
      <c r="D14" s="3153">
        <v>0.89</v>
      </c>
      <c r="E14" s="3153">
        <v>0.44</v>
      </c>
      <c r="F14" s="3153">
        <v>0.37</v>
      </c>
      <c r="G14" s="3153">
        <v>0.96</v>
      </c>
      <c r="H14" s="3170">
        <v>0.64</v>
      </c>
      <c r="I14" s="3154">
        <f t="shared" si="4"/>
        <v>0.37</v>
      </c>
      <c r="J14" s="3155"/>
      <c r="K14" s="3156">
        <f t="shared" si="5"/>
        <v>8.8999999999999999E-3</v>
      </c>
      <c r="L14" s="3146">
        <f t="shared" si="5"/>
        <v>4.4000000000000003E-3</v>
      </c>
      <c r="M14" s="3146">
        <f t="shared" si="5"/>
        <v>3.7000000000000002E-3</v>
      </c>
      <c r="N14" s="3146">
        <f t="shared" si="5"/>
        <v>9.5999999999999992E-3</v>
      </c>
      <c r="O14" s="3146">
        <f t="shared" si="5"/>
        <v>6.4000000000000003E-3</v>
      </c>
      <c r="P14" s="3146">
        <f t="shared" si="25"/>
        <v>3.7000000000000002E-3</v>
      </c>
      <c r="Q14" s="3155"/>
      <c r="R14" s="3157">
        <f>ROUND(IF(项目基本情况!$B$8="出让",SUMPRODUCT(PRODUCT(1+K14:$K$18)),SUMPRODUCT(PRODUCT(1+K14:$K$17))),4)</f>
        <v>1.0335000000000001</v>
      </c>
      <c r="S14" s="3157">
        <f>ROUND(IF(项目基本情况!$B$8="出让",SUMPRODUCT(PRODUCT(1+L14:$L$18)),SUMPRODUCT(PRODUCT(1+L14:$L$17))),4)</f>
        <v>1.0182</v>
      </c>
      <c r="T14" s="3157">
        <f>ROUND(IF(项目基本情况!$B$8="出让",SUMPRODUCT(PRODUCT(1+M14:$M$18)),SUMPRODUCT(PRODUCT(1+M14:$M$17))),4)</f>
        <v>1.0108999999999999</v>
      </c>
      <c r="U14" s="3157">
        <f>ROUND(IF(项目基本情况!$B$8="出让",SUMPRODUCT(PRODUCT(1+N14:$N$18)),SUMPRODUCT(PRODUCT(1+N14:$N$17))),4)</f>
        <v>1.0361</v>
      </c>
      <c r="V14" s="3157">
        <f>ROUND(IF(项目基本情况!$B$8="出让",SUMPRODUCT(PRODUCT(1+O14:$O$18)),SUMPRODUCT(PRODUCT(1+O14:$O$17))),4)</f>
        <v>1.0270999999999999</v>
      </c>
      <c r="W14" s="3157">
        <f t="shared" si="24"/>
        <v>1.0108999999999999</v>
      </c>
      <c r="X14" s="3155"/>
      <c r="Y14" s="3158">
        <f>IF(D14=0,0,ROUND(AVERAGE(D14:D18)/100,4))</f>
        <v>8.6E-3</v>
      </c>
      <c r="Z14" s="3158">
        <f t="shared" ref="Z14:AC14" si="29">IF(E14=0,0,ROUND(AVERAGE(E14:E18)/100,4))</f>
        <v>3.8999999999999998E-3</v>
      </c>
      <c r="AA14" s="3158">
        <f t="shared" si="29"/>
        <v>1.6999999999999999E-3</v>
      </c>
      <c r="AB14" s="3158">
        <f t="shared" si="29"/>
        <v>9.2999999999999992E-3</v>
      </c>
      <c r="AC14" s="3158">
        <f t="shared" si="29"/>
        <v>6.1000000000000004E-3</v>
      </c>
      <c r="AD14" s="3158">
        <f t="shared" si="7"/>
        <v>1.6999999999999999E-3</v>
      </c>
    </row>
    <row r="15" spans="1:30" s="3159" customFormat="1" ht="12.75">
      <c r="A15" s="3150" t="s">
        <v>2797</v>
      </c>
      <c r="B15" s="3151">
        <v>2021</v>
      </c>
      <c r="C15" s="3152">
        <v>4</v>
      </c>
      <c r="D15" s="3153">
        <v>1.03</v>
      </c>
      <c r="E15" s="3153">
        <v>0.24</v>
      </c>
      <c r="F15" s="3153">
        <v>7.0000000000000007E-2</v>
      </c>
      <c r="G15" s="3153">
        <v>1.17</v>
      </c>
      <c r="H15" s="3170">
        <v>0.55000000000000004</v>
      </c>
      <c r="I15" s="3154">
        <f t="shared" si="4"/>
        <v>7.0000000000000007E-2</v>
      </c>
      <c r="J15" s="3155"/>
      <c r="K15" s="3156">
        <f t="shared" si="5"/>
        <v>1.03E-2</v>
      </c>
      <c r="L15" s="3146">
        <f t="shared" si="5"/>
        <v>2.3999999999999998E-3</v>
      </c>
      <c r="M15" s="3146">
        <f t="shared" si="5"/>
        <v>7.000000000000001E-4</v>
      </c>
      <c r="N15" s="3146">
        <f t="shared" si="5"/>
        <v>1.1699999999999999E-2</v>
      </c>
      <c r="O15" s="3146">
        <f t="shared" si="5"/>
        <v>5.5000000000000005E-3</v>
      </c>
      <c r="P15" s="3146">
        <f t="shared" si="25"/>
        <v>7.000000000000001E-4</v>
      </c>
      <c r="Q15" s="3155"/>
      <c r="R15" s="3157">
        <f>ROUND(IF(项目基本情况!$B$8="出让",SUMPRODUCT(PRODUCT(1+K15:$K$18)),SUMPRODUCT(PRODUCT(1+K15:$K$17))),4)</f>
        <v>1.0244</v>
      </c>
      <c r="S15" s="3157">
        <f>ROUND(IF(项目基本情况!$B$8="出让",SUMPRODUCT(PRODUCT(1+L15:$L$18)),SUMPRODUCT(PRODUCT(1+L15:$L$17))),4)</f>
        <v>1.0138</v>
      </c>
      <c r="T15" s="3157">
        <f>ROUND(IF(项目基本情况!$B$8="出让",SUMPRODUCT(PRODUCT(1+M15:$M$18)),SUMPRODUCT(PRODUCT(1+M15:$M$17))),4)</f>
        <v>1.0072000000000001</v>
      </c>
      <c r="U15" s="3157">
        <f>ROUND(IF(项目基本情况!$B$8="出让",SUMPRODUCT(PRODUCT(1+N15:$N$18)),SUMPRODUCT(PRODUCT(1+N15:$N$17))),4)</f>
        <v>1.0262</v>
      </c>
      <c r="V15" s="3157">
        <f>ROUND(IF(项目基本情况!$B$8="出让",SUMPRODUCT(PRODUCT(1+O15:$O$18)),SUMPRODUCT(PRODUCT(1+O15:$O$17))),4)</f>
        <v>1.0205</v>
      </c>
      <c r="W15" s="3157">
        <f t="shared" si="24"/>
        <v>1.0072000000000001</v>
      </c>
      <c r="X15" s="3155"/>
      <c r="Y15" s="3158">
        <f>IF(D15=0,0,ROUND(AVERAGE(D15:D18)/100,4))</f>
        <v>8.5000000000000006E-3</v>
      </c>
      <c r="Z15" s="3158">
        <f t="shared" ref="Z15:AC15" si="30">IF(E15=0,0,ROUND(AVERAGE(E15:E18)/100,4))</f>
        <v>3.8E-3</v>
      </c>
      <c r="AA15" s="3158">
        <f t="shared" si="30"/>
        <v>1.1999999999999999E-3</v>
      </c>
      <c r="AB15" s="3158">
        <f t="shared" si="30"/>
        <v>9.2999999999999992E-3</v>
      </c>
      <c r="AC15" s="3158">
        <f t="shared" si="30"/>
        <v>6.0000000000000001E-3</v>
      </c>
      <c r="AD15" s="3158">
        <f t="shared" si="7"/>
        <v>1.1999999999999999E-3</v>
      </c>
    </row>
    <row r="16" spans="1:30" s="3159" customFormat="1" ht="12.75">
      <c r="A16" s="3150" t="s">
        <v>2798</v>
      </c>
      <c r="B16" s="3151">
        <v>2021</v>
      </c>
      <c r="C16" s="3152">
        <v>3</v>
      </c>
      <c r="D16" s="3153">
        <v>0.47</v>
      </c>
      <c r="E16" s="3153">
        <v>0.41</v>
      </c>
      <c r="F16" s="3153">
        <v>0.24</v>
      </c>
      <c r="G16" s="3153">
        <v>0.48</v>
      </c>
      <c r="H16" s="3170">
        <v>0.48</v>
      </c>
      <c r="I16" s="3154">
        <f t="shared" si="4"/>
        <v>0.24</v>
      </c>
      <c r="J16" s="3155"/>
      <c r="K16" s="3156">
        <f t="shared" si="5"/>
        <v>4.6999999999999993E-3</v>
      </c>
      <c r="L16" s="3146">
        <f t="shared" si="5"/>
        <v>4.0999999999999995E-3</v>
      </c>
      <c r="M16" s="3146">
        <f t="shared" si="5"/>
        <v>2.3999999999999998E-3</v>
      </c>
      <c r="N16" s="3146">
        <f t="shared" si="5"/>
        <v>4.7999999999999996E-3</v>
      </c>
      <c r="O16" s="3146">
        <f t="shared" si="5"/>
        <v>4.7999999999999996E-3</v>
      </c>
      <c r="P16" s="3146">
        <f t="shared" si="25"/>
        <v>2.3999999999999998E-3</v>
      </c>
      <c r="Q16" s="3155"/>
      <c r="R16" s="3157">
        <f>ROUND(IF(项目基本情况!$B$8="出让",SUMPRODUCT(PRODUCT(1+K16:$K$18)),SUMPRODUCT(PRODUCT(1+K16:$K$17))),4)</f>
        <v>1.0139</v>
      </c>
      <c r="S16" s="3157">
        <f>ROUND(IF(项目基本情况!$B$8="出让",SUMPRODUCT(PRODUCT(1+L16:$L$18)),SUMPRODUCT(PRODUCT(1+L16:$L$17))),4)</f>
        <v>1.0113000000000001</v>
      </c>
      <c r="T16" s="3157">
        <f>ROUND(IF(项目基本情况!$B$8="出让",SUMPRODUCT(PRODUCT(1+M16:$M$18)),SUMPRODUCT(PRODUCT(1+M16:$M$17))),4)</f>
        <v>1.0065</v>
      </c>
      <c r="U16" s="3157">
        <f>ROUND(IF(项目基本情况!$B$8="出让",SUMPRODUCT(PRODUCT(1+N16:$N$18)),SUMPRODUCT(PRODUCT(1+N16:$N$17))),4)</f>
        <v>1.0143</v>
      </c>
      <c r="V16" s="3157">
        <f>ROUND(IF(项目基本情况!$B$8="出让",SUMPRODUCT(PRODUCT(1+O16:$O$18)),SUMPRODUCT(PRODUCT(1+O16:$O$17))),4)</f>
        <v>1.0148999999999999</v>
      </c>
      <c r="W16" s="3157">
        <f t="shared" si="24"/>
        <v>1.0065</v>
      </c>
      <c r="X16" s="3155"/>
      <c r="Y16" s="3158">
        <f>IF(D16=0,0,ROUND(AVERAGE(D16:D18)/100,4))</f>
        <v>7.9000000000000008E-3</v>
      </c>
      <c r="Z16" s="3158">
        <f>IF(E16=0,0,ROUND(AVERAGE(E16:E18)/100,4))</f>
        <v>4.3E-3</v>
      </c>
      <c r="AA16" s="3158">
        <f>IF(F16=0,0,ROUND(AVERAGE(F16:F18)/100,4))</f>
        <v>1.2999999999999999E-3</v>
      </c>
      <c r="AB16" s="3158">
        <f>IF(G16=0,0,ROUND(AVERAGE(G16:G18)/100,4))</f>
        <v>8.5000000000000006E-3</v>
      </c>
      <c r="AC16" s="3158">
        <f>IF(H16=0,0,ROUND(AVERAGE(H16:H18)/100,4))</f>
        <v>6.1999999999999998E-3</v>
      </c>
      <c r="AD16" s="3158">
        <f t="shared" si="7"/>
        <v>1.2999999999999999E-3</v>
      </c>
    </row>
    <row r="17" spans="1:30" s="3159" customFormat="1" ht="12.75">
      <c r="A17" s="3150" t="s">
        <v>2799</v>
      </c>
      <c r="B17" s="3151">
        <v>2021</v>
      </c>
      <c r="C17" s="3152">
        <v>2</v>
      </c>
      <c r="D17" s="3153">
        <v>0.92</v>
      </c>
      <c r="E17" s="3153">
        <v>0.72</v>
      </c>
      <c r="F17" s="3153">
        <v>0.41</v>
      </c>
      <c r="G17" s="3153">
        <v>0.95</v>
      </c>
      <c r="H17" s="3170">
        <v>1.01</v>
      </c>
      <c r="I17" s="3154">
        <f t="shared" si="4"/>
        <v>0.41</v>
      </c>
      <c r="J17" s="3155"/>
      <c r="K17" s="3156">
        <f t="shared" si="5"/>
        <v>9.1999999999999998E-3</v>
      </c>
      <c r="L17" s="3146">
        <f t="shared" si="5"/>
        <v>7.1999999999999998E-3</v>
      </c>
      <c r="M17" s="3146">
        <f t="shared" si="5"/>
        <v>4.0999999999999995E-3</v>
      </c>
      <c r="N17" s="3146">
        <f t="shared" si="5"/>
        <v>9.4999999999999998E-3</v>
      </c>
      <c r="O17" s="3146">
        <f t="shared" si="5"/>
        <v>1.01E-2</v>
      </c>
      <c r="P17" s="3146">
        <f t="shared" si="25"/>
        <v>4.0999999999999995E-3</v>
      </c>
      <c r="Q17" s="3155"/>
      <c r="R17" s="3157">
        <f>ROUND(IF(项目基本情况!$B$8="出让",SUMPRODUCT(PRODUCT(1+K17:$K$18)),SUMPRODUCT(PRODUCT(1+K17:$K$17))),4)</f>
        <v>1.0092000000000001</v>
      </c>
      <c r="S17" s="3157">
        <f>ROUND(IF(项目基本情况!$B$8="出让",SUMPRODUCT(PRODUCT(1+L17:$L$18)),SUMPRODUCT(PRODUCT(1+L17:$L$17))),4)</f>
        <v>1.0072000000000001</v>
      </c>
      <c r="T17" s="3157">
        <f>ROUND(IF(项目基本情况!$B$8="出让",SUMPRODUCT(PRODUCT(1+M17:$M$18)),SUMPRODUCT(PRODUCT(1+M17:$M$17))),4)</f>
        <v>1.0041</v>
      </c>
      <c r="U17" s="3157">
        <f>ROUND(IF(项目基本情况!$B$8="出让",SUMPRODUCT(PRODUCT(1+N17:$N$18)),SUMPRODUCT(PRODUCT(1+N17:$N$17))),4)</f>
        <v>1.0095000000000001</v>
      </c>
      <c r="V17" s="3157">
        <f>ROUND(IF(项目基本情况!$B$8="出让",SUMPRODUCT(PRODUCT(1+O17:$O$18)),SUMPRODUCT(PRODUCT(1+O17:$O$17))),4)</f>
        <v>1.0101</v>
      </c>
      <c r="W17" s="3157">
        <f t="shared" si="24"/>
        <v>1.0041</v>
      </c>
      <c r="X17" s="3155"/>
      <c r="Y17" s="3158">
        <f>IF(D17=0,0,ROUND(AVERAGE(D17:D18)/100,4))</f>
        <v>9.4999999999999998E-3</v>
      </c>
      <c r="Z17" s="3158">
        <f>IF(E17=0,0,ROUND(AVERAGE(E17:E18)/100,4))</f>
        <v>4.4000000000000003E-3</v>
      </c>
      <c r="AA17" s="3158">
        <f>IF(F17=0,0,ROUND(AVERAGE(F17:F18)/100,4))</f>
        <v>8.0000000000000004E-4</v>
      </c>
      <c r="AB17" s="3158">
        <f>IF(G17=0,0,ROUND(AVERAGE(G17:G18)/100,4))</f>
        <v>1.03E-2</v>
      </c>
      <c r="AC17" s="3158">
        <f>IF(H17=0,0,ROUND(AVERAGE(H17:H18)/100,4))</f>
        <v>6.8999999999999999E-3</v>
      </c>
      <c r="AD17" s="3158">
        <f t="shared" si="7"/>
        <v>8.0000000000000004E-4</v>
      </c>
    </row>
    <row r="18" spans="1:30" s="3181" customFormat="1" thickBot="1">
      <c r="A18" s="3171" t="s">
        <v>2800</v>
      </c>
      <c r="B18" s="3172">
        <v>2021</v>
      </c>
      <c r="C18" s="3173">
        <v>1</v>
      </c>
      <c r="D18" s="3174">
        <v>0.97</v>
      </c>
      <c r="E18" s="3174">
        <v>0.16</v>
      </c>
      <c r="F18" s="3174">
        <v>-0.25</v>
      </c>
      <c r="G18" s="3174">
        <v>1.1100000000000001</v>
      </c>
      <c r="H18" s="3175">
        <v>0.36</v>
      </c>
      <c r="I18" s="3176">
        <f t="shared" si="4"/>
        <v>-0.25</v>
      </c>
      <c r="J18" s="3177"/>
      <c r="K18" s="3178">
        <f t="shared" si="5"/>
        <v>9.7000000000000003E-3</v>
      </c>
      <c r="L18" s="3179">
        <f t="shared" si="5"/>
        <v>1.6000000000000001E-3</v>
      </c>
      <c r="M18" s="3179">
        <f>F18/100</f>
        <v>-2.5000000000000001E-3</v>
      </c>
      <c r="N18" s="3179">
        <f t="shared" si="5"/>
        <v>1.11E-2</v>
      </c>
      <c r="O18" s="3179">
        <f t="shared" si="5"/>
        <v>3.5999999999999999E-3</v>
      </c>
      <c r="P18" s="3179">
        <f t="shared" si="25"/>
        <v>-2.5000000000000001E-3</v>
      </c>
      <c r="Q18" s="3177"/>
      <c r="R18" s="3180">
        <v>1</v>
      </c>
      <c r="S18" s="3180">
        <v>1</v>
      </c>
      <c r="T18" s="3180">
        <v>1</v>
      </c>
      <c r="U18" s="3180">
        <v>1</v>
      </c>
      <c r="V18" s="3180">
        <v>1</v>
      </c>
      <c r="W18" s="3180">
        <f t="shared" ref="W18" si="31">T18</f>
        <v>1</v>
      </c>
      <c r="X18" s="3177"/>
      <c r="Y18" s="3179">
        <f>IF(D18=0,0,ROUND(AVERAGE(D18:D18)/100,4))</f>
        <v>9.7000000000000003E-3</v>
      </c>
      <c r="Z18" s="3179">
        <f>IF(E18=0,0,ROUND(AVERAGE(E18:E18)/100,4))</f>
        <v>1.6000000000000001E-3</v>
      </c>
      <c r="AA18" s="3179">
        <f>IF(F18=0,0,ROUND(AVERAGE(F18:F18)/100,4))</f>
        <v>-2.5000000000000001E-3</v>
      </c>
      <c r="AB18" s="3179">
        <f>IF(G18=0,0,ROUND(AVERAGE(G18:G18)/100,4))</f>
        <v>1.11E-2</v>
      </c>
      <c r="AC18" s="3179">
        <f>IF(H18=0,0,ROUND(AVERAGE(H18:H18)/100,4))</f>
        <v>3.5999999999999999E-3</v>
      </c>
      <c r="AD18" s="3179">
        <f>AA18</f>
        <v>-2.5000000000000001E-3</v>
      </c>
    </row>
    <row r="19" spans="1:30" s="2983" customFormat="1" ht="14.25" thickTop="1"/>
    <row r="20" spans="1:30" s="2983" customFormat="1">
      <c r="A20" s="3422" t="s">
        <v>3341</v>
      </c>
    </row>
    <row r="21" spans="1:30" s="2983" customFormat="1">
      <c r="I21" s="3182" t="s">
        <v>2801</v>
      </c>
    </row>
    <row r="22" spans="1:30" s="2983" customFormat="1"/>
    <row r="23" spans="1:30" s="3183" customFormat="1" ht="12.75">
      <c r="B23" s="3184" t="s">
        <v>3347</v>
      </c>
      <c r="C23" s="3185"/>
      <c r="D23" s="3185"/>
      <c r="E23" s="3185"/>
      <c r="F23" s="3185"/>
      <c r="G23" s="3185"/>
      <c r="H23" s="3185"/>
      <c r="I23" s="3185"/>
      <c r="J23" s="3139"/>
      <c r="K23" s="3185" t="s">
        <v>2802</v>
      </c>
      <c r="L23" s="3185"/>
      <c r="M23" s="3185"/>
      <c r="N23" s="3185"/>
      <c r="O23" s="3185"/>
      <c r="P23" s="3185"/>
      <c r="Q23" s="3139"/>
      <c r="R23" s="3819" t="s">
        <v>2803</v>
      </c>
      <c r="S23" s="3820"/>
      <c r="T23" s="3820"/>
      <c r="U23" s="3820"/>
      <c r="V23" s="3820"/>
      <c r="W23" s="3820"/>
      <c r="X23" s="3139"/>
      <c r="Y23" s="3819" t="s">
        <v>2804</v>
      </c>
      <c r="Z23" s="3820"/>
      <c r="AA23" s="3820"/>
      <c r="AB23" s="3820"/>
      <c r="AC23" s="3820"/>
      <c r="AD23" s="3820"/>
    </row>
    <row r="24" spans="1:30" s="3117" customFormat="1" ht="14.25" thickBot="1">
      <c r="B24" s="3118"/>
      <c r="C24" s="3119"/>
      <c r="D24" s="3120" t="s">
        <v>2805</v>
      </c>
      <c r="E24" s="3121" t="s">
        <v>2806</v>
      </c>
      <c r="F24" s="3121" t="s">
        <v>2807</v>
      </c>
      <c r="G24" s="3121" t="s">
        <v>2808</v>
      </c>
      <c r="H24" s="3121"/>
      <c r="I24" s="3121" t="s">
        <v>2809</v>
      </c>
      <c r="J24" s="3122"/>
      <c r="K24" s="3120" t="s">
        <v>2805</v>
      </c>
      <c r="L24" s="3121" t="s">
        <v>2806</v>
      </c>
      <c r="M24" s="3121" t="s">
        <v>2807</v>
      </c>
      <c r="N24" s="3121" t="s">
        <v>2808</v>
      </c>
      <c r="O24" s="3121"/>
      <c r="P24" s="3121" t="s">
        <v>2809</v>
      </c>
      <c r="Q24" s="3122"/>
      <c r="R24" s="3120" t="s">
        <v>2805</v>
      </c>
      <c r="S24" s="3121" t="s">
        <v>2806</v>
      </c>
      <c r="T24" s="3121" t="s">
        <v>2807</v>
      </c>
      <c r="U24" s="3121" t="s">
        <v>2808</v>
      </c>
      <c r="V24" s="3121"/>
      <c r="W24" s="3121" t="s">
        <v>2809</v>
      </c>
      <c r="X24" s="3122"/>
      <c r="Y24" s="3120" t="s">
        <v>2805</v>
      </c>
      <c r="Z24" s="3121" t="s">
        <v>2806</v>
      </c>
      <c r="AA24" s="3121" t="s">
        <v>2807</v>
      </c>
      <c r="AB24" s="3121" t="s">
        <v>2808</v>
      </c>
      <c r="AC24" s="3121"/>
      <c r="AD24" s="3121" t="s">
        <v>2809</v>
      </c>
    </row>
    <row r="25" spans="1:30" s="3135" customFormat="1" ht="12.75">
      <c r="A25" s="3123" t="s">
        <v>2810</v>
      </c>
      <c r="B25" s="3124"/>
      <c r="C25" s="3125"/>
      <c r="D25" s="3125"/>
      <c r="E25" s="3125">
        <f t="shared" ref="E25:G25" si="32">ROUND(AVERAGEIF(E26:E40,"&lt;&gt;0"),2)</f>
        <v>0.39</v>
      </c>
      <c r="F25" s="3125">
        <f t="shared" si="32"/>
        <v>0.28000000000000003</v>
      </c>
      <c r="G25" s="3125">
        <f t="shared" si="32"/>
        <v>0.67</v>
      </c>
      <c r="H25" s="3125"/>
      <c r="I25" s="3125">
        <f>F25</f>
        <v>0.28000000000000003</v>
      </c>
      <c r="J25" s="3126"/>
      <c r="K25" s="3127"/>
      <c r="L25" s="3128">
        <f t="shared" ref="L25:N25" si="33">ROUND(AVERAGEIF(L26:L40,"&lt;&gt;0"),4)</f>
        <v>3.8999999999999998E-3</v>
      </c>
      <c r="M25" s="3128">
        <f t="shared" si="33"/>
        <v>2.8E-3</v>
      </c>
      <c r="N25" s="3128">
        <f t="shared" si="33"/>
        <v>6.7000000000000002E-3</v>
      </c>
      <c r="O25" s="3128"/>
      <c r="P25" s="3128">
        <f>M25</f>
        <v>2.8E-3</v>
      </c>
      <c r="Q25" s="3126"/>
      <c r="R25" s="3129"/>
      <c r="S25" s="3130">
        <f>ROUND(SUMPRODUCT(PRODUCT(1+L26:L40)),4)</f>
        <v>1.0476000000000001</v>
      </c>
      <c r="T25" s="3130">
        <f t="shared" ref="T25:U25" si="34">ROUND(SUMPRODUCT(PRODUCT(1+M26:M40)),4)</f>
        <v>1.0346</v>
      </c>
      <c r="U25" s="3130">
        <f t="shared" si="34"/>
        <v>1.0831999999999999</v>
      </c>
      <c r="V25" s="3130"/>
      <c r="W25" s="3129">
        <f>T25</f>
        <v>1.0346</v>
      </c>
      <c r="X25" s="3126"/>
      <c r="Y25" s="3131"/>
      <c r="Z25" s="3132">
        <f t="shared" ref="Z25:AB25" si="35">ROUND(AVERAGEIF(Z26:Z40,"&lt;&gt;0"),4)</f>
        <v>4.3E-3</v>
      </c>
      <c r="AA25" s="3133">
        <f t="shared" si="35"/>
        <v>3.5999999999999999E-3</v>
      </c>
      <c r="AB25" s="3131">
        <f t="shared" si="35"/>
        <v>8.8999999999999999E-3</v>
      </c>
      <c r="AC25" s="3134"/>
      <c r="AD25" s="3131">
        <f>AA25</f>
        <v>3.5999999999999999E-3</v>
      </c>
    </row>
    <row r="26" spans="1:30" s="3136" customFormat="1" ht="12.75">
      <c r="B26" s="3137"/>
      <c r="C26" s="3138"/>
      <c r="D26" s="3138"/>
      <c r="E26" s="3138"/>
      <c r="F26" s="3138"/>
      <c r="G26" s="3138"/>
      <c r="H26" s="3138"/>
      <c r="I26" s="3138"/>
      <c r="J26" s="3139"/>
      <c r="K26" s="3140"/>
      <c r="L26" s="3141"/>
      <c r="M26" s="3141"/>
      <c r="N26" s="3141"/>
      <c r="O26" s="3141"/>
      <c r="P26" s="3141"/>
      <c r="Q26" s="3139"/>
      <c r="R26" s="3142"/>
      <c r="S26" s="3143"/>
      <c r="T26" s="3144"/>
      <c r="U26" s="3142"/>
      <c r="V26" s="3145"/>
      <c r="W26" s="3142"/>
      <c r="X26" s="3139"/>
      <c r="Y26" s="3146"/>
      <c r="Z26" s="3147"/>
      <c r="AA26" s="3148"/>
      <c r="AB26" s="3146"/>
      <c r="AC26" s="3149"/>
      <c r="AD26" s="3146"/>
    </row>
    <row r="27" spans="1:30" s="3159" customFormat="1" ht="12.75">
      <c r="A27" s="2204" t="s">
        <v>3349</v>
      </c>
      <c r="B27" s="3151">
        <v>2024</v>
      </c>
      <c r="C27" s="3152">
        <v>2</v>
      </c>
      <c r="D27" s="3153"/>
      <c r="E27" s="3153">
        <v>0</v>
      </c>
      <c r="F27" s="3153">
        <v>0</v>
      </c>
      <c r="G27" s="3153">
        <v>0</v>
      </c>
      <c r="H27" s="3153"/>
      <c r="I27" s="3154">
        <f t="shared" ref="I27:I40" si="36">F27</f>
        <v>0</v>
      </c>
      <c r="J27" s="3155"/>
      <c r="K27" s="3156"/>
      <c r="L27" s="3146">
        <f t="shared" ref="L27:N40" si="37">E27/100</f>
        <v>0</v>
      </c>
      <c r="M27" s="3146">
        <f t="shared" si="37"/>
        <v>0</v>
      </c>
      <c r="N27" s="3146">
        <f t="shared" si="37"/>
        <v>0</v>
      </c>
      <c r="O27" s="3146"/>
      <c r="P27" s="3146">
        <f>M27</f>
        <v>0</v>
      </c>
      <c r="Q27" s="3155"/>
      <c r="R27" s="3157"/>
      <c r="S27" s="3157">
        <f>ROUND(IF(项目基本情况!$B$8="出让",SUMPRODUCT(PRODUCT(1+L27:L$40)),SUMPRODUCT(PRODUCT(1+L27:L$39))),4)</f>
        <v>1.0439000000000001</v>
      </c>
      <c r="T27" s="3157">
        <f>ROUND(IF(项目基本情况!$B$8="出让",SUMPRODUCT(PRODUCT(1+M27:M$40)),SUMPRODUCT(PRODUCT(1+M27:M$39))),4)</f>
        <v>1.0297000000000001</v>
      </c>
      <c r="U27" s="3157">
        <f>ROUND(IF(项目基本情况!$B$8="出让",SUMPRODUCT(PRODUCT(1+N27:N$40)),SUMPRODUCT(PRODUCT(1+N27:N$39))),4)</f>
        <v>1.0727</v>
      </c>
      <c r="V27" s="3157"/>
      <c r="W27" s="3157">
        <f>T27</f>
        <v>1.0297000000000001</v>
      </c>
      <c r="X27" s="3155"/>
      <c r="Y27" s="3158"/>
      <c r="Z27" s="3186">
        <f>IF(E27=0,0,ROUND(AVERAGE(E27:E40)/100,4))</f>
        <v>0</v>
      </c>
      <c r="AA27" s="3186">
        <f>IF(F27=0,0,ROUND(AVERAGE(F27:F40)/100,4))</f>
        <v>0</v>
      </c>
      <c r="AB27" s="3186">
        <f>IF(G27=0,0,ROUND(AVERAGE(G27:G40)/100,4))</f>
        <v>0</v>
      </c>
      <c r="AC27" s="3187"/>
      <c r="AD27" s="3158">
        <f>IF(I27=0,0,ROUND(AVERAGE(I27:I40)/100,4))</f>
        <v>0</v>
      </c>
    </row>
    <row r="28" spans="1:30" s="3159" customFormat="1" ht="12.75">
      <c r="A28" s="2204" t="s">
        <v>3350</v>
      </c>
      <c r="B28" s="3151">
        <v>2024</v>
      </c>
      <c r="C28" s="3152">
        <v>1</v>
      </c>
      <c r="D28" s="3153"/>
      <c r="E28" s="3153">
        <v>0</v>
      </c>
      <c r="F28" s="3153">
        <v>0</v>
      </c>
      <c r="G28" s="3153">
        <v>0</v>
      </c>
      <c r="H28" s="3153"/>
      <c r="I28" s="3154">
        <f t="shared" ref="I28:I29" si="38">F28</f>
        <v>0</v>
      </c>
      <c r="J28" s="3155"/>
      <c r="K28" s="3156"/>
      <c r="L28" s="3146">
        <f t="shared" ref="L28" si="39">E28/100</f>
        <v>0</v>
      </c>
      <c r="M28" s="3146">
        <f t="shared" ref="M28" si="40">F28/100</f>
        <v>0</v>
      </c>
      <c r="N28" s="3146">
        <f t="shared" ref="N28" si="41">G28/100</f>
        <v>0</v>
      </c>
      <c r="O28" s="3146"/>
      <c r="P28" s="3146">
        <f t="shared" ref="P28" si="42">M28</f>
        <v>0</v>
      </c>
      <c r="Q28" s="3155"/>
      <c r="R28" s="3157"/>
      <c r="S28" s="3157">
        <f>ROUND(IF(项目基本情况!$B$8="出让",SUMPRODUCT(PRODUCT(1+L28:L$40)),SUMPRODUCT(PRODUCT(1+L28:L$39))),4)</f>
        <v>1.0439000000000001</v>
      </c>
      <c r="T28" s="3157">
        <f>ROUND(IF(项目基本情况!$B$8="出让",SUMPRODUCT(PRODUCT(1+M28:M$40)),SUMPRODUCT(PRODUCT(1+M28:M$39))),4)</f>
        <v>1.0297000000000001</v>
      </c>
      <c r="U28" s="3157">
        <f>ROUND(IF(项目基本情况!$B$8="出让",SUMPRODUCT(PRODUCT(1+N28:N$40)),SUMPRODUCT(PRODUCT(1+N28:N$39))),4)</f>
        <v>1.0727</v>
      </c>
      <c r="V28" s="3157"/>
      <c r="W28" s="3157">
        <f t="shared" ref="W28" si="43">T28</f>
        <v>1.0297000000000001</v>
      </c>
      <c r="X28" s="3155"/>
      <c r="Y28" s="3158"/>
      <c r="Z28" s="3186"/>
      <c r="AA28" s="3188"/>
      <c r="AB28" s="3158"/>
      <c r="AC28" s="3187"/>
      <c r="AD28" s="3158"/>
    </row>
    <row r="29" spans="1:30" s="3169" customFormat="1" ht="12.75">
      <c r="A29" s="3160" t="s">
        <v>3354</v>
      </c>
      <c r="B29" s="3161">
        <v>2023</v>
      </c>
      <c r="C29" s="3162">
        <v>4</v>
      </c>
      <c r="D29" s="3163"/>
      <c r="E29" s="3163">
        <v>7.0000000000000007E-2</v>
      </c>
      <c r="F29" s="3163">
        <v>0.09</v>
      </c>
      <c r="G29" s="3163">
        <v>0.03</v>
      </c>
      <c r="H29" s="3164"/>
      <c r="I29" s="3165">
        <f t="shared" si="38"/>
        <v>0.09</v>
      </c>
      <c r="J29" s="3166"/>
      <c r="K29" s="3167"/>
      <c r="L29" s="3168">
        <f t="shared" si="37"/>
        <v>7.000000000000001E-4</v>
      </c>
      <c r="M29" s="3168">
        <f t="shared" si="37"/>
        <v>8.9999999999999998E-4</v>
      </c>
      <c r="N29" s="3168">
        <f t="shared" si="37"/>
        <v>2.9999999999999997E-4</v>
      </c>
      <c r="O29" s="3168"/>
      <c r="P29" s="3168">
        <f t="shared" ref="P29" si="44">M29</f>
        <v>8.9999999999999998E-4</v>
      </c>
      <c r="Q29" s="3166"/>
      <c r="R29" s="3166"/>
      <c r="S29" s="3166">
        <f>ROUND(IF(项目基本情况!$B$8="出让",SUMPRODUCT(PRODUCT(1+L29:L$40)),SUMPRODUCT(PRODUCT(1+L29:L$39))),4)</f>
        <v>1.0439000000000001</v>
      </c>
      <c r="T29" s="3166">
        <f>ROUND(IF(项目基本情况!$B$8="出让",SUMPRODUCT(PRODUCT(1+M29:M$40)),SUMPRODUCT(PRODUCT(1+M29:M$39))),4)</f>
        <v>1.0297000000000001</v>
      </c>
      <c r="U29" s="3166">
        <f>ROUND(IF(项目基本情况!$B$8="出让",SUMPRODUCT(PRODUCT(1+N29:N$40)),SUMPRODUCT(PRODUCT(1+N29:N$39))),4)</f>
        <v>1.0727</v>
      </c>
      <c r="V29" s="3166"/>
      <c r="W29" s="3166">
        <f t="shared" ref="W29" si="45">T29</f>
        <v>1.0297000000000001</v>
      </c>
      <c r="X29" s="3166"/>
      <c r="Y29" s="3168"/>
      <c r="Z29" s="3189"/>
      <c r="AA29" s="3190"/>
      <c r="AB29" s="3168"/>
      <c r="AC29" s="3191"/>
      <c r="AD29" s="3168"/>
    </row>
    <row r="30" spans="1:30" s="3159" customFormat="1" ht="12.75">
      <c r="A30" s="3150" t="s">
        <v>3353</v>
      </c>
      <c r="B30" s="3151">
        <v>2023</v>
      </c>
      <c r="C30" s="3152">
        <v>3</v>
      </c>
      <c r="D30" s="3153"/>
      <c r="E30" s="3153">
        <v>0.35</v>
      </c>
      <c r="F30" s="3153">
        <v>0.17</v>
      </c>
      <c r="G30" s="3153">
        <v>0.52</v>
      </c>
      <c r="H30" s="3170"/>
      <c r="I30" s="3154">
        <f t="shared" si="36"/>
        <v>0.17</v>
      </c>
      <c r="J30" s="3155"/>
      <c r="K30" s="3156"/>
      <c r="L30" s="3146">
        <f t="shared" ref="L30:L32" si="46">E30/100</f>
        <v>3.4999999999999996E-3</v>
      </c>
      <c r="M30" s="3146">
        <f t="shared" ref="M30:M32" si="47">F30/100</f>
        <v>1.7000000000000001E-3</v>
      </c>
      <c r="N30" s="3146">
        <f t="shared" ref="N30:N32" si="48">G30/100</f>
        <v>5.1999999999999998E-3</v>
      </c>
      <c r="O30" s="3146"/>
      <c r="P30" s="3146">
        <f t="shared" ref="P30:P32" si="49">M30</f>
        <v>1.7000000000000001E-3</v>
      </c>
      <c r="Q30" s="3155"/>
      <c r="R30" s="3157"/>
      <c r="S30" s="3157">
        <f>ROUND(IF(项目基本情况!$B$8="出让",SUMPRODUCT(PRODUCT(1+L30:L$40)),SUMPRODUCT(PRODUCT(1+L30:L$39))),4)</f>
        <v>1.0431999999999999</v>
      </c>
      <c r="T30" s="3157">
        <f>ROUND(IF(项目基本情况!$B$8="出让",SUMPRODUCT(PRODUCT(1+M30:M$40)),SUMPRODUCT(PRODUCT(1+M30:M$39))),4)</f>
        <v>1.0286999999999999</v>
      </c>
      <c r="U30" s="3157">
        <f>ROUND(IF(项目基本情况!$B$8="出让",SUMPRODUCT(PRODUCT(1+N30:N$40)),SUMPRODUCT(PRODUCT(1+N30:N$39))),4)</f>
        <v>1.0723</v>
      </c>
      <c r="V30" s="3157"/>
      <c r="W30" s="3157">
        <f t="shared" ref="W30:W32" si="50">T30</f>
        <v>1.0286999999999999</v>
      </c>
      <c r="X30" s="3155"/>
      <c r="Y30" s="3158"/>
      <c r="Z30" s="3186"/>
      <c r="AA30" s="3188"/>
      <c r="AB30" s="3158"/>
      <c r="AC30" s="3187"/>
      <c r="AD30" s="3158"/>
    </row>
    <row r="31" spans="1:30" s="3159" customFormat="1" ht="12.75">
      <c r="A31" s="3150" t="s">
        <v>3348</v>
      </c>
      <c r="B31" s="3151">
        <v>2023</v>
      </c>
      <c r="C31" s="3152">
        <v>2</v>
      </c>
      <c r="D31" s="3153"/>
      <c r="E31" s="3153">
        <v>0.5</v>
      </c>
      <c r="F31" s="3153">
        <v>0.45</v>
      </c>
      <c r="G31" s="3153">
        <v>0.89</v>
      </c>
      <c r="H31" s="3170"/>
      <c r="I31" s="3154">
        <f t="shared" si="36"/>
        <v>0.45</v>
      </c>
      <c r="J31" s="3155"/>
      <c r="K31" s="3156"/>
      <c r="L31" s="3146">
        <f t="shared" si="46"/>
        <v>5.0000000000000001E-3</v>
      </c>
      <c r="M31" s="3146">
        <f t="shared" si="47"/>
        <v>4.5000000000000005E-3</v>
      </c>
      <c r="N31" s="3146">
        <f t="shared" si="48"/>
        <v>8.8999999999999999E-3</v>
      </c>
      <c r="O31" s="3146"/>
      <c r="P31" s="3146">
        <f t="shared" si="49"/>
        <v>4.5000000000000005E-3</v>
      </c>
      <c r="Q31" s="3155"/>
      <c r="R31" s="3157"/>
      <c r="S31" s="3157">
        <f>ROUND(IF(项目基本情况!$B$8="出让",SUMPRODUCT(PRODUCT(1+L31:L$40)),SUMPRODUCT(PRODUCT(1+L31:L$39))),4)</f>
        <v>1.0396000000000001</v>
      </c>
      <c r="T31" s="3157">
        <f>ROUND(IF(项目基本情况!$B$8="出让",SUMPRODUCT(PRODUCT(1+M31:M$40)),SUMPRODUCT(PRODUCT(1+M31:M$39))),4)</f>
        <v>1.0269999999999999</v>
      </c>
      <c r="U31" s="3157">
        <f>ROUND(IF(项目基本情况!$B$8="出让",SUMPRODUCT(PRODUCT(1+N31:N$40)),SUMPRODUCT(PRODUCT(1+N31:N$39))),4)</f>
        <v>1.0668</v>
      </c>
      <c r="V31" s="3157"/>
      <c r="W31" s="3157">
        <f t="shared" si="50"/>
        <v>1.0269999999999999</v>
      </c>
      <c r="X31" s="3155"/>
      <c r="Y31" s="3158"/>
      <c r="Z31" s="3186"/>
      <c r="AA31" s="3188"/>
      <c r="AB31" s="3158"/>
      <c r="AC31" s="3187"/>
      <c r="AD31" s="3158"/>
    </row>
    <row r="32" spans="1:30" s="3159" customFormat="1" ht="12.75">
      <c r="A32" s="3150" t="s">
        <v>3344</v>
      </c>
      <c r="B32" s="3151">
        <v>2023</v>
      </c>
      <c r="C32" s="3152">
        <v>1</v>
      </c>
      <c r="D32" s="3153"/>
      <c r="E32" s="3153">
        <v>0.55000000000000004</v>
      </c>
      <c r="F32" s="3153">
        <v>0.59</v>
      </c>
      <c r="G32" s="3153">
        <v>0.64</v>
      </c>
      <c r="H32" s="3170"/>
      <c r="I32" s="3154">
        <f t="shared" si="36"/>
        <v>0.59</v>
      </c>
      <c r="J32" s="3155"/>
      <c r="K32" s="3156"/>
      <c r="L32" s="3146">
        <f t="shared" si="46"/>
        <v>5.5000000000000005E-3</v>
      </c>
      <c r="M32" s="3146">
        <f t="shared" si="47"/>
        <v>5.8999999999999999E-3</v>
      </c>
      <c r="N32" s="3146">
        <f t="shared" si="48"/>
        <v>6.4000000000000003E-3</v>
      </c>
      <c r="O32" s="3146"/>
      <c r="P32" s="3146">
        <f t="shared" si="49"/>
        <v>5.8999999999999999E-3</v>
      </c>
      <c r="Q32" s="3155"/>
      <c r="R32" s="3157"/>
      <c r="S32" s="3157">
        <f>ROUND(IF(项目基本情况!$B$8="出让",SUMPRODUCT(PRODUCT(1+L32:L$40)),SUMPRODUCT(PRODUCT(1+L32:L$39))),4)</f>
        <v>1.0344</v>
      </c>
      <c r="T32" s="3157">
        <f>ROUND(IF(项目基本情况!$B$8="出让",SUMPRODUCT(PRODUCT(1+M32:M$40)),SUMPRODUCT(PRODUCT(1+M32:M$39))),4)</f>
        <v>1.0224</v>
      </c>
      <c r="U32" s="3157">
        <f>ROUND(IF(项目基本情况!$B$8="出让",SUMPRODUCT(PRODUCT(1+N32:N$40)),SUMPRODUCT(PRODUCT(1+N32:N$39))),4)</f>
        <v>1.0573999999999999</v>
      </c>
      <c r="V32" s="3157"/>
      <c r="W32" s="3157">
        <f t="shared" si="50"/>
        <v>1.0224</v>
      </c>
      <c r="X32" s="3155"/>
      <c r="Y32" s="3158"/>
      <c r="Z32" s="3186"/>
      <c r="AA32" s="3188"/>
      <c r="AB32" s="3158"/>
      <c r="AC32" s="3187"/>
      <c r="AD32" s="3158"/>
    </row>
    <row r="33" spans="1:30" s="3159" customFormat="1" ht="12.75">
      <c r="A33" s="3150" t="s">
        <v>3343</v>
      </c>
      <c r="B33" s="3151">
        <v>2022</v>
      </c>
      <c r="C33" s="3152">
        <v>4</v>
      </c>
      <c r="D33" s="3153"/>
      <c r="E33" s="3153">
        <v>0.45</v>
      </c>
      <c r="F33" s="3153">
        <v>0.2</v>
      </c>
      <c r="G33" s="3153">
        <v>0.38</v>
      </c>
      <c r="H33" s="3170"/>
      <c r="I33" s="3154">
        <f t="shared" si="36"/>
        <v>0.2</v>
      </c>
      <c r="J33" s="3155"/>
      <c r="K33" s="3156"/>
      <c r="L33" s="3146">
        <f t="shared" si="37"/>
        <v>4.5000000000000005E-3</v>
      </c>
      <c r="M33" s="3146">
        <f t="shared" si="37"/>
        <v>2E-3</v>
      </c>
      <c r="N33" s="3146">
        <f t="shared" si="37"/>
        <v>3.8E-3</v>
      </c>
      <c r="O33" s="3146"/>
      <c r="P33" s="3146">
        <f t="shared" ref="P33:P40" si="51">M33</f>
        <v>2E-3</v>
      </c>
      <c r="Q33" s="3155"/>
      <c r="R33" s="3157"/>
      <c r="S33" s="3157">
        <f>ROUND(IF(项目基本情况!$B$8="出让",SUMPRODUCT(PRODUCT(1+L33:L$40)),SUMPRODUCT(PRODUCT(1+L33:L$39))),4)</f>
        <v>1.0286999999999999</v>
      </c>
      <c r="T33" s="3157">
        <f>ROUND(IF(项目基本情况!$B$8="出让",SUMPRODUCT(PRODUCT(1+M33:M$40)),SUMPRODUCT(PRODUCT(1+M33:M$39))),4)</f>
        <v>1.0164</v>
      </c>
      <c r="U33" s="3157">
        <f>ROUND(IF(项目基本情况!$B$8="出让",SUMPRODUCT(PRODUCT(1+N33:N$40)),SUMPRODUCT(PRODUCT(1+N33:N$39))),4)</f>
        <v>1.0506</v>
      </c>
      <c r="V33" s="3157"/>
      <c r="W33" s="3157">
        <f t="shared" ref="W33:W40" si="52">T33</f>
        <v>1.0164</v>
      </c>
      <c r="X33" s="3155"/>
      <c r="Y33" s="3158"/>
      <c r="Z33" s="3186">
        <f t="shared" ref="Z33:AD40" si="53">IF(E33=0,0,ROUND(AVERAGE(E33:E41)/100,4))</f>
        <v>4.0000000000000001E-3</v>
      </c>
      <c r="AA33" s="3188">
        <f t="shared" si="53"/>
        <v>2.5999999999999999E-3</v>
      </c>
      <c r="AB33" s="3158">
        <f t="shared" si="53"/>
        <v>7.4000000000000003E-3</v>
      </c>
      <c r="AC33" s="3187"/>
      <c r="AD33" s="3158">
        <f t="shared" si="53"/>
        <v>2.5999999999999999E-3</v>
      </c>
    </row>
    <row r="34" spans="1:30" s="3159" customFormat="1" ht="12.75">
      <c r="A34" s="3150" t="s">
        <v>3340</v>
      </c>
      <c r="B34" s="3151">
        <v>2022</v>
      </c>
      <c r="C34" s="3152">
        <v>3</v>
      </c>
      <c r="D34" s="3153"/>
      <c r="E34" s="3153">
        <v>0.3</v>
      </c>
      <c r="F34" s="3153">
        <v>0.28999999999999998</v>
      </c>
      <c r="G34" s="3153">
        <v>0.83</v>
      </c>
      <c r="H34" s="3170"/>
      <c r="I34" s="3154">
        <f t="shared" si="36"/>
        <v>0.28999999999999998</v>
      </c>
      <c r="J34" s="3155"/>
      <c r="K34" s="3156"/>
      <c r="L34" s="3146">
        <f t="shared" si="37"/>
        <v>3.0000000000000001E-3</v>
      </c>
      <c r="M34" s="3146">
        <f t="shared" si="37"/>
        <v>2.8999999999999998E-3</v>
      </c>
      <c r="N34" s="3146">
        <f t="shared" si="37"/>
        <v>8.3000000000000001E-3</v>
      </c>
      <c r="O34" s="3146"/>
      <c r="P34" s="3146">
        <f t="shared" si="51"/>
        <v>2.8999999999999998E-3</v>
      </c>
      <c r="Q34" s="3155"/>
      <c r="R34" s="3157"/>
      <c r="S34" s="3157">
        <f>ROUND(IF(项目基本情况!$B$8="出让",SUMPRODUCT(PRODUCT(1+L34:L$40)),SUMPRODUCT(PRODUCT(1+L34:L$39))),4)</f>
        <v>1.0241</v>
      </c>
      <c r="T34" s="3157">
        <f>ROUND(IF(项目基本情况!$B$8="出让",SUMPRODUCT(PRODUCT(1+M34:M$40)),SUMPRODUCT(PRODUCT(1+M34:M$39))),4)</f>
        <v>1.0144</v>
      </c>
      <c r="U34" s="3157">
        <f>ROUND(IF(项目基本情况!$B$8="出让",SUMPRODUCT(PRODUCT(1+N34:N$40)),SUMPRODUCT(PRODUCT(1+N34:N$39))),4)</f>
        <v>1.0467</v>
      </c>
      <c r="V34" s="3157"/>
      <c r="W34" s="3157">
        <f t="shared" si="52"/>
        <v>1.0144</v>
      </c>
      <c r="X34" s="3155"/>
      <c r="Y34" s="3158"/>
      <c r="Z34" s="3186">
        <f t="shared" si="53"/>
        <v>3.8999999999999998E-3</v>
      </c>
      <c r="AA34" s="3188">
        <f t="shared" si="53"/>
        <v>2.7000000000000001E-3</v>
      </c>
      <c r="AB34" s="3158">
        <f t="shared" si="53"/>
        <v>7.9000000000000008E-3</v>
      </c>
      <c r="AC34" s="3187"/>
      <c r="AD34" s="3158">
        <f t="shared" si="53"/>
        <v>2.7000000000000001E-3</v>
      </c>
    </row>
    <row r="35" spans="1:30" s="3159" customFormat="1" ht="12.75">
      <c r="A35" s="3150" t="s">
        <v>3330</v>
      </c>
      <c r="B35" s="3151">
        <v>2022</v>
      </c>
      <c r="C35" s="3152">
        <v>2</v>
      </c>
      <c r="D35" s="3153"/>
      <c r="E35" s="3153">
        <v>-0.11</v>
      </c>
      <c r="F35" s="3153">
        <v>-0.13</v>
      </c>
      <c r="G35" s="3153">
        <v>0.53</v>
      </c>
      <c r="H35" s="3170"/>
      <c r="I35" s="3154">
        <f t="shared" si="36"/>
        <v>-0.13</v>
      </c>
      <c r="J35" s="3155"/>
      <c r="K35" s="3156"/>
      <c r="L35" s="3146">
        <f t="shared" si="37"/>
        <v>-1.1000000000000001E-3</v>
      </c>
      <c r="M35" s="3146">
        <f t="shared" si="37"/>
        <v>-1.2999999999999999E-3</v>
      </c>
      <c r="N35" s="3146">
        <f t="shared" si="37"/>
        <v>5.3E-3</v>
      </c>
      <c r="O35" s="3146"/>
      <c r="P35" s="3146">
        <f t="shared" si="51"/>
        <v>-1.2999999999999999E-3</v>
      </c>
      <c r="Q35" s="3155"/>
      <c r="R35" s="3157"/>
      <c r="S35" s="3157">
        <f>ROUND(IF(项目基本情况!$B$8="出让",SUMPRODUCT(PRODUCT(1+L35:L$40)),SUMPRODUCT(PRODUCT(1+L35:L$39))),4)</f>
        <v>1.0210999999999999</v>
      </c>
      <c r="T35" s="3157">
        <f>ROUND(IF(项目基本情况!$B$8="出让",SUMPRODUCT(PRODUCT(1+M35:M$40)),SUMPRODUCT(PRODUCT(1+M35:M$39))),4)</f>
        <v>1.0114000000000001</v>
      </c>
      <c r="U35" s="3157">
        <f>ROUND(IF(项目基本情况!$B$8="出让",SUMPRODUCT(PRODUCT(1+N35:N$40)),SUMPRODUCT(PRODUCT(1+N35:N$39))),4)</f>
        <v>1.0381</v>
      </c>
      <c r="V35" s="3157"/>
      <c r="W35" s="3157">
        <f t="shared" si="52"/>
        <v>1.0114000000000001</v>
      </c>
      <c r="X35" s="3155"/>
      <c r="Y35" s="3158"/>
      <c r="Z35" s="3186">
        <f t="shared" si="53"/>
        <v>4.1000000000000003E-3</v>
      </c>
      <c r="AA35" s="3188">
        <f t="shared" si="53"/>
        <v>2.7000000000000001E-3</v>
      </c>
      <c r="AB35" s="3158">
        <f t="shared" si="53"/>
        <v>7.9000000000000008E-3</v>
      </c>
      <c r="AC35" s="3187"/>
      <c r="AD35" s="3158">
        <f t="shared" si="53"/>
        <v>2.7000000000000001E-3</v>
      </c>
    </row>
    <row r="36" spans="1:30" s="3159" customFormat="1" ht="12.75">
      <c r="A36" s="3150" t="s">
        <v>2811</v>
      </c>
      <c r="B36" s="3151">
        <v>2022</v>
      </c>
      <c r="C36" s="3152">
        <v>1</v>
      </c>
      <c r="D36" s="3153"/>
      <c r="E36" s="3153">
        <v>0.6</v>
      </c>
      <c r="F36" s="3153">
        <v>0.45</v>
      </c>
      <c r="G36" s="3153">
        <v>0.53</v>
      </c>
      <c r="H36" s="3170"/>
      <c r="I36" s="3154">
        <f t="shared" si="36"/>
        <v>0.45</v>
      </c>
      <c r="J36" s="3155"/>
      <c r="K36" s="3156"/>
      <c r="L36" s="3146">
        <f t="shared" si="37"/>
        <v>6.0000000000000001E-3</v>
      </c>
      <c r="M36" s="3146">
        <f t="shared" si="37"/>
        <v>4.5000000000000005E-3</v>
      </c>
      <c r="N36" s="3146">
        <f t="shared" si="37"/>
        <v>5.3E-3</v>
      </c>
      <c r="O36" s="3146"/>
      <c r="P36" s="3146">
        <f t="shared" si="51"/>
        <v>4.5000000000000005E-3</v>
      </c>
      <c r="Q36" s="3155"/>
      <c r="R36" s="3157"/>
      <c r="S36" s="3157">
        <f>ROUND(IF(项目基本情况!$B$8="出让",SUMPRODUCT(PRODUCT(1+L36:L$40)),SUMPRODUCT(PRODUCT(1+L36:L$39))),4)</f>
        <v>1.0222</v>
      </c>
      <c r="T36" s="3157">
        <f>ROUND(IF(项目基本情况!$B$8="出让",SUMPRODUCT(PRODUCT(1+M36:M$40)),SUMPRODUCT(PRODUCT(1+M36:M$39))),4)</f>
        <v>1.0127999999999999</v>
      </c>
      <c r="U36" s="3157">
        <f>ROUND(IF(项目基本情况!$B$8="出让",SUMPRODUCT(PRODUCT(1+N36:N$40)),SUMPRODUCT(PRODUCT(1+N36:N$39))),4)</f>
        <v>1.0326</v>
      </c>
      <c r="V36" s="3157"/>
      <c r="W36" s="3157">
        <f t="shared" si="52"/>
        <v>1.0127999999999999</v>
      </c>
      <c r="X36" s="3155"/>
      <c r="Y36" s="3158"/>
      <c r="Z36" s="3186">
        <f t="shared" si="53"/>
        <v>5.1000000000000004E-3</v>
      </c>
      <c r="AA36" s="3188">
        <f t="shared" si="53"/>
        <v>3.5000000000000001E-3</v>
      </c>
      <c r="AB36" s="3158">
        <f t="shared" si="53"/>
        <v>8.3999999999999995E-3</v>
      </c>
      <c r="AC36" s="3187"/>
      <c r="AD36" s="3158">
        <f t="shared" si="53"/>
        <v>3.5000000000000001E-3</v>
      </c>
    </row>
    <row r="37" spans="1:30" s="3159" customFormat="1" ht="12.75">
      <c r="A37" s="3150" t="s">
        <v>2812</v>
      </c>
      <c r="B37" s="3151">
        <v>2021</v>
      </c>
      <c r="C37" s="3152">
        <v>4</v>
      </c>
      <c r="D37" s="3153"/>
      <c r="E37" s="3153">
        <v>0.57999999999999996</v>
      </c>
      <c r="F37" s="3153">
        <v>0.08</v>
      </c>
      <c r="G37" s="3153">
        <v>0.68</v>
      </c>
      <c r="H37" s="3170"/>
      <c r="I37" s="3154">
        <f t="shared" si="36"/>
        <v>0.08</v>
      </c>
      <c r="J37" s="3155"/>
      <c r="K37" s="3156"/>
      <c r="L37" s="3146">
        <f t="shared" si="37"/>
        <v>5.7999999999999996E-3</v>
      </c>
      <c r="M37" s="3146">
        <f t="shared" si="37"/>
        <v>8.0000000000000004E-4</v>
      </c>
      <c r="N37" s="3146">
        <f t="shared" si="37"/>
        <v>6.8000000000000005E-3</v>
      </c>
      <c r="O37" s="3146"/>
      <c r="P37" s="3146">
        <f t="shared" si="51"/>
        <v>8.0000000000000004E-4</v>
      </c>
      <c r="Q37" s="3155"/>
      <c r="R37" s="3157"/>
      <c r="S37" s="3157">
        <f>ROUND(IF(项目基本情况!$B$8="出让",SUMPRODUCT(PRODUCT(1+L37:L$40)),SUMPRODUCT(PRODUCT(1+L37:L$39))),4)</f>
        <v>1.0161</v>
      </c>
      <c r="T37" s="3157">
        <f>ROUND(IF(项目基本情况!$B$8="出让",SUMPRODUCT(PRODUCT(1+M37:M$40)),SUMPRODUCT(PRODUCT(1+M37:M$39))),4)</f>
        <v>1.0082</v>
      </c>
      <c r="U37" s="3157">
        <f>ROUND(IF(项目基本情况!$B$8="出让",SUMPRODUCT(PRODUCT(1+N37:N$40)),SUMPRODUCT(PRODUCT(1+N37:N$39))),4)</f>
        <v>1.0270999999999999</v>
      </c>
      <c r="V37" s="3157"/>
      <c r="W37" s="3157">
        <f t="shared" si="52"/>
        <v>1.0082</v>
      </c>
      <c r="X37" s="3155"/>
      <c r="Y37" s="3158"/>
      <c r="Z37" s="3186">
        <f t="shared" si="53"/>
        <v>4.8999999999999998E-3</v>
      </c>
      <c r="AA37" s="3188">
        <f t="shared" si="53"/>
        <v>3.3E-3</v>
      </c>
      <c r="AB37" s="3158">
        <f t="shared" si="53"/>
        <v>9.1999999999999998E-3</v>
      </c>
      <c r="AC37" s="3187"/>
      <c r="AD37" s="3158">
        <f t="shared" si="53"/>
        <v>3.3E-3</v>
      </c>
    </row>
    <row r="38" spans="1:30" s="3159" customFormat="1" ht="12.75">
      <c r="A38" s="3150" t="s">
        <v>2813</v>
      </c>
      <c r="B38" s="3151">
        <v>2021</v>
      </c>
      <c r="C38" s="3152">
        <v>3</v>
      </c>
      <c r="D38" s="3153"/>
      <c r="E38" s="3153">
        <v>0.47</v>
      </c>
      <c r="F38" s="3153">
        <v>0.28000000000000003</v>
      </c>
      <c r="G38" s="3153">
        <v>0.91</v>
      </c>
      <c r="H38" s="3170"/>
      <c r="I38" s="3154">
        <f t="shared" si="36"/>
        <v>0.28000000000000003</v>
      </c>
      <c r="J38" s="3155"/>
      <c r="K38" s="3156"/>
      <c r="L38" s="3146">
        <f t="shared" si="37"/>
        <v>4.6999999999999993E-3</v>
      </c>
      <c r="M38" s="3146">
        <f t="shared" si="37"/>
        <v>2.8000000000000004E-3</v>
      </c>
      <c r="N38" s="3146">
        <f t="shared" si="37"/>
        <v>9.1000000000000004E-3</v>
      </c>
      <c r="O38" s="3146"/>
      <c r="P38" s="3146">
        <f t="shared" si="51"/>
        <v>2.8000000000000004E-3</v>
      </c>
      <c r="Q38" s="3155"/>
      <c r="R38" s="3157"/>
      <c r="S38" s="3157">
        <f>ROUND(IF(项目基本情况!$B$8="出让",SUMPRODUCT(PRODUCT(1+L38:L$40)),SUMPRODUCT(PRODUCT(1+L38:L$39))),4)</f>
        <v>1.0102</v>
      </c>
      <c r="T38" s="3157">
        <f>ROUND(IF(项目基本情况!$B$8="出让",SUMPRODUCT(PRODUCT(1+M38:M$40)),SUMPRODUCT(PRODUCT(1+M38:M$39))),4)</f>
        <v>1.0074000000000001</v>
      </c>
      <c r="U38" s="3157">
        <f>ROUND(IF(项目基本情况!$B$8="出让",SUMPRODUCT(PRODUCT(1+N38:N$40)),SUMPRODUCT(PRODUCT(1+N38:N$39))),4)</f>
        <v>1.0202</v>
      </c>
      <c r="V38" s="3157"/>
      <c r="W38" s="3157">
        <f t="shared" si="52"/>
        <v>1.0074000000000001</v>
      </c>
      <c r="X38" s="3155"/>
      <c r="Y38" s="3158"/>
      <c r="Z38" s="3186">
        <f t="shared" si="53"/>
        <v>4.5999999999999999E-3</v>
      </c>
      <c r="AA38" s="3188">
        <f t="shared" si="53"/>
        <v>4.1000000000000003E-3</v>
      </c>
      <c r="AB38" s="3158">
        <f t="shared" si="53"/>
        <v>0.01</v>
      </c>
      <c r="AC38" s="3187"/>
      <c r="AD38" s="3158">
        <f t="shared" si="53"/>
        <v>4.1000000000000003E-3</v>
      </c>
    </row>
    <row r="39" spans="1:30" s="3159" customFormat="1" ht="12.75">
      <c r="A39" s="3150" t="s">
        <v>2814</v>
      </c>
      <c r="B39" s="3151">
        <v>2021</v>
      </c>
      <c r="C39" s="3152">
        <v>2</v>
      </c>
      <c r="D39" s="3153"/>
      <c r="E39" s="3153">
        <v>0.55000000000000004</v>
      </c>
      <c r="F39" s="3153">
        <v>0.46</v>
      </c>
      <c r="G39" s="3153">
        <v>1.1000000000000001</v>
      </c>
      <c r="H39" s="3170"/>
      <c r="I39" s="3154">
        <f t="shared" si="36"/>
        <v>0.46</v>
      </c>
      <c r="J39" s="3155"/>
      <c r="K39" s="3156"/>
      <c r="L39" s="3146">
        <f t="shared" si="37"/>
        <v>5.5000000000000005E-3</v>
      </c>
      <c r="M39" s="3146">
        <f t="shared" si="37"/>
        <v>4.5999999999999999E-3</v>
      </c>
      <c r="N39" s="3146">
        <f t="shared" si="37"/>
        <v>1.1000000000000001E-2</v>
      </c>
      <c r="O39" s="3146"/>
      <c r="P39" s="3146">
        <f t="shared" si="51"/>
        <v>4.5999999999999999E-3</v>
      </c>
      <c r="Q39" s="3155"/>
      <c r="R39" s="3157"/>
      <c r="S39" s="3157">
        <f>ROUND(IF(项目基本情况!$B$8="出让",SUMPRODUCT(PRODUCT(1+L39:L$40)),SUMPRODUCT(PRODUCT(1+L39:L$39))),4)</f>
        <v>1.0055000000000001</v>
      </c>
      <c r="T39" s="3157">
        <f>ROUND(IF(项目基本情况!$B$8="出让",SUMPRODUCT(PRODUCT(1+M39:M$40)),SUMPRODUCT(PRODUCT(1+M39:M$39))),4)</f>
        <v>1.0045999999999999</v>
      </c>
      <c r="U39" s="3157">
        <f>ROUND(IF(项目基本情况!$B$8="出让",SUMPRODUCT(PRODUCT(1+N39:N$40)),SUMPRODUCT(PRODUCT(1+N39:N$39))),4)</f>
        <v>1.0109999999999999</v>
      </c>
      <c r="V39" s="3157"/>
      <c r="W39" s="3157">
        <f t="shared" si="52"/>
        <v>1.0045999999999999</v>
      </c>
      <c r="X39" s="3155"/>
      <c r="Y39" s="3158"/>
      <c r="Z39" s="3186">
        <f t="shared" si="53"/>
        <v>4.4999999999999997E-3</v>
      </c>
      <c r="AA39" s="3188">
        <f t="shared" si="53"/>
        <v>4.7000000000000002E-3</v>
      </c>
      <c r="AB39" s="3158">
        <f t="shared" si="53"/>
        <v>1.04E-2</v>
      </c>
      <c r="AC39" s="3187"/>
      <c r="AD39" s="3158">
        <f t="shared" si="53"/>
        <v>4.7000000000000002E-3</v>
      </c>
    </row>
    <row r="40" spans="1:30" s="3181" customFormat="1" thickBot="1">
      <c r="A40" s="3171" t="s">
        <v>2800</v>
      </c>
      <c r="B40" s="3172">
        <v>2021</v>
      </c>
      <c r="C40" s="3173">
        <v>1</v>
      </c>
      <c r="D40" s="3174"/>
      <c r="E40" s="3174">
        <v>0.35</v>
      </c>
      <c r="F40" s="3174">
        <v>0.48</v>
      </c>
      <c r="G40" s="3174">
        <v>0.98</v>
      </c>
      <c r="H40" s="3175"/>
      <c r="I40" s="3176">
        <f t="shared" si="36"/>
        <v>0.48</v>
      </c>
      <c r="J40" s="3177"/>
      <c r="K40" s="3178"/>
      <c r="L40" s="3179">
        <f t="shared" si="37"/>
        <v>3.4999999999999996E-3</v>
      </c>
      <c r="M40" s="3179">
        <f>F40/100</f>
        <v>4.7999999999999996E-3</v>
      </c>
      <c r="N40" s="3179">
        <f t="shared" si="37"/>
        <v>9.7999999999999997E-3</v>
      </c>
      <c r="O40" s="3179"/>
      <c r="P40" s="3179">
        <f t="shared" si="51"/>
        <v>4.7999999999999996E-3</v>
      </c>
      <c r="Q40" s="3177"/>
      <c r="R40" s="3180"/>
      <c r="S40" s="3180">
        <v>1</v>
      </c>
      <c r="T40" s="3180">
        <v>1</v>
      </c>
      <c r="U40" s="3180">
        <v>1</v>
      </c>
      <c r="V40" s="3180"/>
      <c r="W40" s="3180">
        <f t="shared" si="52"/>
        <v>1</v>
      </c>
      <c r="X40" s="3177"/>
      <c r="Y40" s="3179"/>
      <c r="Z40" s="3192">
        <f t="shared" si="53"/>
        <v>3.5000000000000001E-3</v>
      </c>
      <c r="AA40" s="3193">
        <f t="shared" si="53"/>
        <v>4.7999999999999996E-3</v>
      </c>
      <c r="AB40" s="3179">
        <f t="shared" si="53"/>
        <v>9.7999999999999997E-3</v>
      </c>
      <c r="AC40" s="3194"/>
      <c r="AD40" s="3179">
        <f t="shared" si="53"/>
        <v>4.7999999999999996E-3</v>
      </c>
    </row>
    <row r="41" spans="1:30" ht="14.25" thickTop="1"/>
    <row r="42" spans="1:30">
      <c r="A42" s="3422"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26" t="s">
        <v>452</v>
      </c>
      <c r="C1" s="3826"/>
      <c r="D1" s="3826"/>
      <c r="E1" s="3826"/>
      <c r="F1" s="3826"/>
      <c r="G1" s="3822" t="s">
        <v>453</v>
      </c>
      <c r="H1" s="3822"/>
      <c r="I1" s="3822"/>
      <c r="J1" s="3822"/>
      <c r="K1" s="3822"/>
      <c r="L1" s="3822"/>
      <c r="N1" s="3822" t="s">
        <v>454</v>
      </c>
      <c r="O1" s="3822"/>
      <c r="P1" s="3822"/>
      <c r="Q1" s="3822"/>
      <c r="S1" s="3822" t="s">
        <v>455</v>
      </c>
      <c r="T1" s="3822"/>
      <c r="U1" s="3822"/>
      <c r="V1" s="3822"/>
      <c r="X1" s="3821" t="s">
        <v>456</v>
      </c>
      <c r="Y1" s="3822"/>
      <c r="Z1" s="3822"/>
      <c r="AA1" s="3822"/>
      <c r="AB1" s="3822"/>
      <c r="AD1" s="3821" t="s">
        <v>457</v>
      </c>
      <c r="AE1" s="3822"/>
      <c r="AF1" s="3822"/>
      <c r="AG1" s="3822"/>
      <c r="AH1" s="3822"/>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10">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10">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10">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10">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9">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24">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24"/>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24"/>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31"/>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27">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24"/>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24"/>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31"/>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27">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24"/>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24"/>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25"/>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23">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24"/>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24"/>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25"/>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23">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24"/>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24"/>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25"/>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28">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29"/>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29"/>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30"/>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23">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24"/>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24"/>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25"/>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23">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24">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24">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25">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23">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24">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24">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25">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23">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24">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24">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25">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23">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24">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24">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25">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23">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24">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24">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25">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23">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24">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24">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25">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23">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24">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24">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25">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23">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24">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24">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25">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23">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24">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24">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25">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23">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24">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24">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25">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O10:U60"/>
  <sheetViews>
    <sheetView workbookViewId="0">
      <selection activeCell="S17" sqref="S17"/>
    </sheetView>
  </sheetViews>
  <sheetFormatPr defaultRowHeight="13.5"/>
  <cols>
    <col min="18" max="18" width="10.5" bestFit="1" customWidth="1"/>
  </cols>
  <sheetData>
    <row r="10" spans="15:21">
      <c r="O10" s="3436" t="s">
        <v>3688</v>
      </c>
      <c r="Q10" s="3436" t="s">
        <v>3682</v>
      </c>
      <c r="U10" s="3436" t="s">
        <v>3689</v>
      </c>
    </row>
    <row r="11" spans="15:21">
      <c r="O11">
        <f>'数据-基础表'!I13</f>
        <v>7792.51</v>
      </c>
      <c r="P11" s="3436" t="s">
        <v>3679</v>
      </c>
      <c r="Q11">
        <f>20+1466.15+1940.76+1945.05+1945.05</f>
        <v>7317.01</v>
      </c>
      <c r="R11">
        <f>15549+2675723.76+3541887+3549716.28+3549716.28</f>
        <v>13332592.319999998</v>
      </c>
      <c r="S11">
        <f>R11/365/Q11</f>
        <v>4.9921552918173981</v>
      </c>
    </row>
    <row r="12" spans="15:21">
      <c r="O12">
        <f>'数据-基础表'!I14</f>
        <v>7637.27</v>
      </c>
      <c r="P12" s="3436" t="s">
        <v>3680</v>
      </c>
      <c r="Q12">
        <f>14187.05</f>
        <v>14187.05</v>
      </c>
      <c r="R12">
        <v>29119544.879999999</v>
      </c>
      <c r="S12">
        <f>R12/365/Q12</f>
        <v>5.6234083205246073</v>
      </c>
      <c r="U12" s="3834">
        <f>O12+U14</f>
        <v>12634.220000000001</v>
      </c>
    </row>
    <row r="13" spans="15:21">
      <c r="O13">
        <f>'数据-基础表'!I15+'数据-基础表'!K15</f>
        <v>10545.05</v>
      </c>
      <c r="P13" s="3436" t="s">
        <v>3681</v>
      </c>
      <c r="Q13">
        <v>10445.49</v>
      </c>
      <c r="R13">
        <v>2224018.86</v>
      </c>
      <c r="S13">
        <f t="shared" ref="S13:S15" si="0">R13/365/Q13</f>
        <v>0.58333331956321655</v>
      </c>
      <c r="U13" s="3834"/>
    </row>
    <row r="14" spans="15:21">
      <c r="O14">
        <f>'数据-基础表'!I16</f>
        <v>6921.25</v>
      </c>
      <c r="P14" s="3436" t="s">
        <v>3683</v>
      </c>
      <c r="Q14">
        <v>1924.3</v>
      </c>
      <c r="R14">
        <v>3237315.84</v>
      </c>
      <c r="S14">
        <f t="shared" si="0"/>
        <v>4.6091349923366547</v>
      </c>
      <c r="U14" s="3834">
        <f>O14-1924.3</f>
        <v>4996.95</v>
      </c>
    </row>
    <row r="15" spans="15:21">
      <c r="O15">
        <f>'数据-基础表'!I17</f>
        <v>6982.07</v>
      </c>
      <c r="P15" s="3436" t="s">
        <v>3684</v>
      </c>
      <c r="Q15">
        <f>1586.2+6982.07</f>
        <v>8568.27</v>
      </c>
      <c r="R15">
        <f>10000000/3</f>
        <v>3333333.3333333335</v>
      </c>
      <c r="S15">
        <f t="shared" si="0"/>
        <v>1.0658417733479688</v>
      </c>
    </row>
    <row r="16" spans="15:21">
      <c r="O16">
        <f>'数据-基础表'!I18</f>
        <v>5673.53</v>
      </c>
      <c r="P16" s="3436" t="s">
        <v>3685</v>
      </c>
    </row>
    <row r="17" spans="15:19">
      <c r="O17">
        <f>'数据-基础表'!I19</f>
        <v>6933.94</v>
      </c>
      <c r="P17" s="3436" t="s">
        <v>3686</v>
      </c>
      <c r="Q17">
        <f>356.39+243+319.81+1963.73+1062.68+900.05</f>
        <v>4845.6600000000008</v>
      </c>
      <c r="R17">
        <f>650411.76+443475+583653.24+3583807.2+1941216+1642591.2</f>
        <v>8845154.4000000004</v>
      </c>
      <c r="S17">
        <f t="shared" ref="S17:S19" si="1">R17/365/Q17</f>
        <v>5.001031794642504</v>
      </c>
    </row>
    <row r="18" spans="15:19">
      <c r="O18">
        <f>'数据-基础表'!I20+'数据-基础表'!K20</f>
        <v>17559.11</v>
      </c>
      <c r="P18" s="3436" t="s">
        <v>3687</v>
      </c>
      <c r="Q18">
        <v>6852.82</v>
      </c>
      <c r="R18">
        <v>4184683.26</v>
      </c>
      <c r="S18">
        <f t="shared" si="1"/>
        <v>1.6730171876447384</v>
      </c>
    </row>
    <row r="19" spans="15:19">
      <c r="O19" s="3834">
        <f>SUM(O11:O18)</f>
        <v>70044.73000000001</v>
      </c>
      <c r="P19" s="3834"/>
      <c r="Q19" s="3834">
        <f>SUM(Q11:Q18)</f>
        <v>54140.6</v>
      </c>
      <c r="R19" s="3834">
        <f>SUM(R11:R15)+SUM(R17:R18)</f>
        <v>64276642.893333331</v>
      </c>
      <c r="S19" s="3834">
        <f t="shared" si="1"/>
        <v>3.2526494255435749</v>
      </c>
    </row>
    <row r="20" spans="15:19">
      <c r="O20" s="3834"/>
      <c r="P20" s="3834"/>
      <c r="Q20" s="3834">
        <f>O19-Q19</f>
        <v>15904.130000000012</v>
      </c>
      <c r="R20" s="3834"/>
      <c r="S20" s="3834"/>
    </row>
    <row r="34" spans="16:18">
      <c r="P34">
        <f>10000000/3/365/6982.07</f>
        <v>1.3079817434262622</v>
      </c>
      <c r="R34">
        <f>3000000/365/(1586.2+6982.07)</f>
        <v>0.95925759601317184</v>
      </c>
    </row>
    <row r="43" spans="16:18">
      <c r="P43">
        <f>650411.76/365/356.39</f>
        <v>5.0000000768743806</v>
      </c>
    </row>
    <row r="57" spans="15:15">
      <c r="O57">
        <f>4184683.26/365/6852.82</f>
        <v>1.6730171876447384</v>
      </c>
    </row>
    <row r="60" spans="15:15">
      <c r="O60">
        <f>R11/365/43696.11</f>
        <v>0.83594741481062773</v>
      </c>
    </row>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基准地价修正</vt:lpstr>
      <vt:lpstr>土地比较法-工业</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123</cp:lastModifiedBy>
  <cp:lastPrinted>2017-03-01T09:15:43Z</cp:lastPrinted>
  <dcterms:created xsi:type="dcterms:W3CDTF">2015-07-13T07:17:23Z</dcterms:created>
  <dcterms:modified xsi:type="dcterms:W3CDTF">2024-04-19T06:08:17Z</dcterms:modified>
</cp:coreProperties>
</file>